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300" windowWidth="14880" windowHeight="781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31" i="1"/>
  <c r="H32"/>
  <c r="H31"/>
  <c r="D5"/>
  <c r="D17"/>
  <c r="I11"/>
  <c r="D9"/>
  <c r="G62"/>
  <c r="L30"/>
  <c r="H30"/>
  <c r="I30"/>
  <c r="K30" s="1"/>
  <c r="M30"/>
  <c r="J30"/>
  <c r="I9"/>
  <c r="I7"/>
  <c r="I8"/>
  <c r="D6"/>
  <c r="I6"/>
  <c r="I10"/>
  <c r="D10"/>
  <c r="D41"/>
  <c r="D26" s="1"/>
  <c r="B43" s="1"/>
  <c r="K6" s="1"/>
  <c r="L6" s="1"/>
  <c r="C41"/>
  <c r="M6" l="1"/>
  <c r="H33"/>
  <c r="H34" s="1"/>
  <c r="H35" s="1"/>
  <c r="H36" s="1"/>
  <c r="H37" s="1"/>
  <c r="H38" s="1"/>
  <c r="H39" s="1"/>
  <c r="H40" s="1"/>
  <c r="K10"/>
  <c r="K8"/>
  <c r="L8" s="1"/>
  <c r="K11"/>
  <c r="K9"/>
  <c r="K7"/>
  <c r="L11" l="1"/>
  <c r="M11" s="1"/>
  <c r="M31" s="1"/>
  <c r="L10"/>
  <c r="M10" s="1"/>
  <c r="L9"/>
  <c r="M9" s="1"/>
  <c r="K31" s="1"/>
  <c r="J31"/>
  <c r="J32" s="1"/>
  <c r="J33" s="1"/>
  <c r="M8"/>
  <c r="L7"/>
  <c r="M7" s="1"/>
  <c r="L31"/>
  <c r="L32" s="1"/>
  <c r="L33" s="1"/>
  <c r="L34" s="1"/>
  <c r="L35" s="1"/>
  <c r="L36" s="1"/>
  <c r="L37" s="1"/>
  <c r="L38" s="1"/>
  <c r="L39" s="1"/>
  <c r="L40" s="1"/>
  <c r="J34"/>
  <c r="J35" s="1"/>
  <c r="J36" s="1"/>
  <c r="J37" s="1"/>
  <c r="J38" s="1"/>
  <c r="J39" s="1"/>
  <c r="J40" s="1"/>
  <c r="H41"/>
  <c r="K32" l="1"/>
  <c r="K33" s="1"/>
  <c r="K34" s="1"/>
  <c r="K35" s="1"/>
  <c r="K36" s="1"/>
  <c r="K37" s="1"/>
  <c r="K38" s="1"/>
  <c r="K39" s="1"/>
  <c r="K40" s="1"/>
  <c r="K41"/>
  <c r="M32"/>
  <c r="M33" s="1"/>
  <c r="M34" s="1"/>
  <c r="M35" s="1"/>
  <c r="M36" s="1"/>
  <c r="M37" s="1"/>
  <c r="M38" s="1"/>
  <c r="M39" s="1"/>
  <c r="M40" s="1"/>
  <c r="M41"/>
  <c r="I32"/>
  <c r="I33" s="1"/>
  <c r="I34" s="1"/>
  <c r="I35" s="1"/>
  <c r="I36" s="1"/>
  <c r="I37" s="1"/>
  <c r="I38" s="1"/>
  <c r="I39" s="1"/>
  <c r="I40" s="1"/>
  <c r="I41" s="1"/>
  <c r="J41"/>
  <c r="L41"/>
</calcChain>
</file>

<file path=xl/sharedStrings.xml><?xml version="1.0" encoding="utf-8"?>
<sst xmlns="http://schemas.openxmlformats.org/spreadsheetml/2006/main" count="109" uniqueCount="83">
  <si>
    <t>PODER CALORIFICO</t>
  </si>
  <si>
    <t>Pellets</t>
  </si>
  <si>
    <t>kwh/kg</t>
  </si>
  <si>
    <t>Gas oil</t>
  </si>
  <si>
    <t>kwh/l</t>
  </si>
  <si>
    <t>Gas natural</t>
  </si>
  <si>
    <r>
      <t>kwh/m</t>
    </r>
    <r>
      <rPr>
        <vertAlign val="superscript"/>
        <sz val="11"/>
        <color theme="1"/>
        <rFont val="Calibri"/>
        <family val="2"/>
        <scheme val="minor"/>
      </rPr>
      <t>3</t>
    </r>
  </si>
  <si>
    <t>PRECIOS</t>
  </si>
  <si>
    <t>electricidad</t>
  </si>
  <si>
    <t>pellets</t>
  </si>
  <si>
    <t>gas oil</t>
  </si>
  <si>
    <t>€/kwh</t>
  </si>
  <si>
    <t>€/ saco</t>
  </si>
  <si>
    <t>€/kg</t>
  </si>
  <si>
    <t>€/ kwh</t>
  </si>
  <si>
    <t>€/l</t>
  </si>
  <si>
    <t>RADIADORES ELECTRICOS</t>
  </si>
  <si>
    <t>RENDIMIENTO</t>
  </si>
  <si>
    <t>CALDERA PROPANO</t>
  </si>
  <si>
    <t>CALDERA PELLETS</t>
  </si>
  <si>
    <t>CALDERA ASTILLAS</t>
  </si>
  <si>
    <t>DATOS VIVIENDA</t>
  </si>
  <si>
    <t>SUPERFICIE UTIL</t>
  </si>
  <si>
    <t>INTENSIDAD TERMICA</t>
  </si>
  <si>
    <t>HORAS ANUALES CALEFACCION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</si>
  <si>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</si>
  <si>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</si>
  <si>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</si>
  <si>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</si>
  <si>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</si>
  <si>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</si>
  <si>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</si>
  <si>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</si>
  <si>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</si>
  <si>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</si>
  <si>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</si>
  <si>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</si>
  <si>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MESES CALEFACCION</t>
  </si>
  <si>
    <t>DIAS</t>
  </si>
  <si>
    <t>HORAS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</si>
  <si>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</si>
  <si>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w/m</t>
    </r>
    <r>
      <rPr>
        <vertAlign val="superscript"/>
        <sz val="11"/>
        <color theme="1"/>
        <rFont val="Calibri"/>
        <family val="2"/>
        <scheme val="minor"/>
      </rPr>
      <t>2</t>
    </r>
  </si>
  <si>
    <t>horas</t>
  </si>
  <si>
    <t>CALDERA GAS OIL</t>
  </si>
  <si>
    <t>kcal/l</t>
  </si>
  <si>
    <t>kcal/kwh</t>
  </si>
  <si>
    <t>COSTO COMBUSTIBLE( €/kwh)</t>
  </si>
  <si>
    <t>propano</t>
  </si>
  <si>
    <t>kcal/kg</t>
  </si>
  <si>
    <t>astillas</t>
  </si>
  <si>
    <t>NECESIDAD</t>
  </si>
  <si>
    <t>Kwh/año</t>
  </si>
  <si>
    <t>ENERGIA A PRODUCIR</t>
  </si>
  <si>
    <t>CALDERA GAS NATURAL</t>
  </si>
  <si>
    <t>AÑO</t>
  </si>
  <si>
    <t>RADIADORES</t>
  </si>
  <si>
    <t>GAS NATURAL</t>
  </si>
  <si>
    <t>GAS OIL</t>
  </si>
  <si>
    <t>PROPANO</t>
  </si>
  <si>
    <t>PELLETS</t>
  </si>
  <si>
    <t>ASTILLAS</t>
  </si>
  <si>
    <t>COSTE INIC</t>
  </si>
  <si>
    <t>CONSUMO + MANT</t>
  </si>
  <si>
    <t>COSTES</t>
  </si>
  <si>
    <t>SUBIDA LUZ</t>
  </si>
  <si>
    <t>SUBIDA GAS</t>
  </si>
  <si>
    <t>SUBIDA GAS OIL</t>
  </si>
  <si>
    <t>SUBIDA PELLETS</t>
  </si>
  <si>
    <t>SUBIDA ASTILLAS</t>
  </si>
  <si>
    <t>TOTAL ACUMULADO</t>
  </si>
  <si>
    <t>MENSUALIDAD GAS</t>
  </si>
  <si>
    <t>€/MES</t>
  </si>
  <si>
    <t>gas propano</t>
  </si>
  <si>
    <t>CALDERA GAS y o PROPANO</t>
  </si>
  <si>
    <t>INSTALACION Y OBRA</t>
  </si>
  <si>
    <t>MANTENIM</t>
  </si>
  <si>
    <t>€/AÑO</t>
  </si>
  <si>
    <t>IPC</t>
  </si>
  <si>
    <t>COSTE SIN IVA</t>
  </si>
  <si>
    <t>COSTE CON IVA</t>
  </si>
  <si>
    <t>IVA normal</t>
  </si>
  <si>
    <t>IVA REDUCIDO</t>
  </si>
  <si>
    <t>GASTO EN COMBUSTIBLE ANUAL</t>
  </si>
</sst>
</file>

<file path=xl/styles.xml><?xml version="1.0" encoding="utf-8"?>
<styleSheet xmlns="http://schemas.openxmlformats.org/spreadsheetml/2006/main">
  <numFmts count="2">
    <numFmt numFmtId="164" formatCode="#,##0\ &quot;€&quot;"/>
    <numFmt numFmtId="165" formatCode="0.000"/>
  </numFmts>
  <fonts count="4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0" fillId="0" borderId="0" xfId="0" applyNumberForma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9" fontId="0" fillId="0" borderId="0" xfId="0" applyNumberFormat="1" applyBorder="1" applyAlignment="1">
      <alignment horizontal="center"/>
    </xf>
    <xf numFmtId="9" fontId="0" fillId="0" borderId="7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7" xfId="0" applyFill="1" applyBorder="1"/>
    <xf numFmtId="0" fontId="2" fillId="2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0" fontId="0" fillId="0" borderId="0" xfId="0" applyFill="1" applyBorder="1"/>
    <xf numFmtId="1" fontId="0" fillId="0" borderId="0" xfId="0" applyNumberFormat="1" applyFill="1" applyBorder="1" applyAlignment="1">
      <alignment horizontal="center"/>
    </xf>
    <xf numFmtId="0" fontId="0" fillId="0" borderId="4" xfId="0" applyFill="1" applyBorder="1"/>
    <xf numFmtId="0" fontId="0" fillId="0" borderId="4" xfId="0" applyBorder="1" applyAlignment="1">
      <alignment horizontal="left"/>
    </xf>
    <xf numFmtId="9" fontId="0" fillId="0" borderId="6" xfId="0" applyNumberFormat="1" applyBorder="1" applyAlignment="1">
      <alignment horizontal="center"/>
    </xf>
    <xf numFmtId="10" fontId="0" fillId="0" borderId="0" xfId="0" applyNumberFormat="1" applyBorder="1"/>
    <xf numFmtId="164" fontId="0" fillId="0" borderId="0" xfId="0" applyNumberFormat="1"/>
    <xf numFmtId="164" fontId="0" fillId="0" borderId="0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Fill="1" applyBorder="1"/>
    <xf numFmtId="9" fontId="0" fillId="0" borderId="4" xfId="0" applyNumberFormat="1" applyBorder="1" applyAlignment="1">
      <alignment horizontal="left"/>
    </xf>
    <xf numFmtId="3" fontId="0" fillId="0" borderId="7" xfId="0" applyNumberFormat="1" applyBorder="1"/>
    <xf numFmtId="164" fontId="0" fillId="0" borderId="7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2" fontId="0" fillId="0" borderId="0" xfId="0" applyNumberFormat="1"/>
    <xf numFmtId="9" fontId="0" fillId="0" borderId="0" xfId="0" applyNumberFormat="1"/>
    <xf numFmtId="0" fontId="2" fillId="2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n-US"/>
              <a:t>COSTE ANUAL</a:t>
            </a:r>
          </a:p>
        </c:rich>
      </c:tx>
      <c:layout>
        <c:manualLayout>
          <c:xMode val="edge"/>
          <c:yMode val="edge"/>
          <c:x val="0.41445144356955382"/>
          <c:y val="3.2407407407407489E-2"/>
        </c:manualLayout>
      </c:layout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Hoja1!$M$5</c:f>
              <c:strCache>
                <c:ptCount val="1"/>
                <c:pt idx="0">
                  <c:v>COSTE CON IVA</c:v>
                </c:pt>
              </c:strCache>
            </c:strRef>
          </c:tx>
          <c:cat>
            <c:strRef>
              <c:f>Hoja1!$G$6:$G$11</c:f>
              <c:strCache>
                <c:ptCount val="6"/>
                <c:pt idx="0">
                  <c:v>RADIADORES ELECTRICOS</c:v>
                </c:pt>
                <c:pt idx="1">
                  <c:v>CALDERA GAS NATURAL</c:v>
                </c:pt>
                <c:pt idx="2">
                  <c:v>CALDERA GAS OIL</c:v>
                </c:pt>
                <c:pt idx="3">
                  <c:v>CALDERA PROPANO</c:v>
                </c:pt>
                <c:pt idx="4">
                  <c:v>CALDERA PELLETS</c:v>
                </c:pt>
                <c:pt idx="5">
                  <c:v>CALDERA ASTILLAS</c:v>
                </c:pt>
              </c:strCache>
            </c:strRef>
          </c:cat>
          <c:val>
            <c:numRef>
              <c:f>Hoja1!$M$6:$M$11</c:f>
              <c:numCache>
                <c:formatCode>#,##0\ "€"</c:formatCode>
                <c:ptCount val="6"/>
                <c:pt idx="0">
                  <c:v>3171.99661904</c:v>
                </c:pt>
                <c:pt idx="1">
                  <c:v>969.39790417555196</c:v>
                </c:pt>
                <c:pt idx="2">
                  <c:v>2165.3805723321639</c:v>
                </c:pt>
                <c:pt idx="3">
                  <c:v>1315.8187709333338</c:v>
                </c:pt>
                <c:pt idx="4">
                  <c:v>672.16773276734693</c:v>
                </c:pt>
                <c:pt idx="5">
                  <c:v>345.43949333333336</c:v>
                </c:pt>
              </c:numCache>
            </c:numRef>
          </c:val>
        </c:ser>
        <c:shape val="box"/>
        <c:axId val="118253056"/>
        <c:axId val="118254592"/>
        <c:axId val="0"/>
      </c:bar3DChart>
      <c:catAx>
        <c:axId val="118253056"/>
        <c:scaling>
          <c:orientation val="minMax"/>
        </c:scaling>
        <c:axPos val="b"/>
        <c:tickLblPos val="nextTo"/>
        <c:crossAx val="118254592"/>
        <c:crosses val="autoZero"/>
        <c:auto val="1"/>
        <c:lblAlgn val="ctr"/>
        <c:lblOffset val="100"/>
      </c:catAx>
      <c:valAx>
        <c:axId val="118254592"/>
        <c:scaling>
          <c:orientation val="minMax"/>
        </c:scaling>
        <c:axPos val="l"/>
        <c:majorGridlines/>
        <c:numFmt formatCode="#,##0\ &quot;€&quot;" sourceLinked="1"/>
        <c:tickLblPos val="nextTo"/>
        <c:crossAx val="1182530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COSTE A 10 AÑOS</c:v>
          </c:tx>
          <c:cat>
            <c:strRef>
              <c:f>Hoja1!$H$29:$M$29</c:f>
              <c:strCache>
                <c:ptCount val="6"/>
                <c:pt idx="0">
                  <c:v>RADIADORES</c:v>
                </c:pt>
                <c:pt idx="1">
                  <c:v>GAS NATURAL</c:v>
                </c:pt>
                <c:pt idx="2">
                  <c:v>GAS OIL</c:v>
                </c:pt>
                <c:pt idx="3">
                  <c:v>PROPANO</c:v>
                </c:pt>
                <c:pt idx="4">
                  <c:v>PELLETS</c:v>
                </c:pt>
                <c:pt idx="5">
                  <c:v>ASTILLAS</c:v>
                </c:pt>
              </c:strCache>
            </c:strRef>
          </c:cat>
          <c:val>
            <c:numRef>
              <c:f>Hoja1!$H$41:$M$41</c:f>
              <c:numCache>
                <c:formatCode>#,##0\ "€"</c:formatCode>
                <c:ptCount val="6"/>
                <c:pt idx="0">
                  <c:v>43760.93944206326</c:v>
                </c:pt>
                <c:pt idx="1">
                  <c:v>25218.995654706829</c:v>
                </c:pt>
                <c:pt idx="2">
                  <c:v>42380.177403750327</c:v>
                </c:pt>
                <c:pt idx="3">
                  <c:v>33668.547527897696</c:v>
                </c:pt>
                <c:pt idx="4">
                  <c:v>16705.607516267784</c:v>
                </c:pt>
                <c:pt idx="5">
                  <c:v>17304.191024265325</c:v>
                </c:pt>
              </c:numCache>
            </c:numRef>
          </c:val>
        </c:ser>
        <c:shape val="box"/>
        <c:axId val="118275456"/>
        <c:axId val="118281344"/>
        <c:axId val="0"/>
      </c:bar3DChart>
      <c:catAx>
        <c:axId val="118275456"/>
        <c:scaling>
          <c:orientation val="minMax"/>
        </c:scaling>
        <c:axPos val="b"/>
        <c:tickLblPos val="nextTo"/>
        <c:crossAx val="118281344"/>
        <c:crosses val="autoZero"/>
        <c:auto val="1"/>
        <c:lblAlgn val="ctr"/>
        <c:lblOffset val="100"/>
      </c:catAx>
      <c:valAx>
        <c:axId val="118281344"/>
        <c:scaling>
          <c:orientation val="minMax"/>
        </c:scaling>
        <c:axPos val="l"/>
        <c:majorGridlines/>
        <c:numFmt formatCode="#,##0\ &quot;€&quot;" sourceLinked="1"/>
        <c:tickLblPos val="nextTo"/>
        <c:crossAx val="1182754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1314450</xdr:colOff>
      <xdr:row>12</xdr:row>
      <xdr:rowOff>19049</xdr:rowOff>
    </xdr:from>
    <xdr:to>
      <xdr:col>9</xdr:col>
      <xdr:colOff>695325</xdr:colOff>
      <xdr:row>27</xdr:row>
      <xdr:rowOff>57149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161925</xdr:colOff>
      <xdr:row>41</xdr:row>
      <xdr:rowOff>180975</xdr:rowOff>
    </xdr:from>
    <xdr:to>
      <xdr:col>8</xdr:col>
      <xdr:colOff>1104900</xdr:colOff>
      <xdr:row>57</xdr:row>
      <xdr:rowOff>133350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O62"/>
  <sheetViews>
    <sheetView tabSelected="1" topLeftCell="D1" zoomScaleNormal="100" workbookViewId="0">
      <selection activeCell="L41" sqref="L41"/>
    </sheetView>
  </sheetViews>
  <sheetFormatPr baseColWidth="10" defaultRowHeight="15"/>
  <cols>
    <col min="1" max="1" width="26.140625" customWidth="1"/>
    <col min="3" max="3" width="22.140625" customWidth="1"/>
    <col min="6" max="6" width="20.140625" customWidth="1"/>
    <col min="7" max="7" width="15.85546875" customWidth="1"/>
    <col min="8" max="8" width="14" customWidth="1"/>
    <col min="9" max="9" width="27.85546875" customWidth="1"/>
    <col min="10" max="10" width="14" customWidth="1"/>
    <col min="11" max="11" width="22.7109375" customWidth="1"/>
    <col min="12" max="12" width="14.5703125" customWidth="1"/>
    <col min="13" max="13" width="14.5703125" bestFit="1" customWidth="1"/>
  </cols>
  <sheetData>
    <row r="2" spans="1:15" ht="15.75" thickBot="1"/>
    <row r="3" spans="1:15">
      <c r="A3" s="1"/>
      <c r="B3" s="48" t="s">
        <v>0</v>
      </c>
      <c r="C3" s="48"/>
      <c r="D3" s="2"/>
      <c r="E3" s="3"/>
      <c r="F3" s="5"/>
      <c r="G3" s="5"/>
      <c r="H3" s="5"/>
      <c r="I3" s="50" t="s">
        <v>82</v>
      </c>
      <c r="J3" s="50"/>
      <c r="K3" s="5"/>
      <c r="L3" s="5"/>
      <c r="M3" s="5"/>
    </row>
    <row r="4" spans="1:15" ht="15.75" thickBot="1">
      <c r="A4" s="4"/>
      <c r="B4" s="5"/>
      <c r="C4" s="5"/>
      <c r="D4" s="5"/>
      <c r="E4" s="6"/>
      <c r="F4" s="5"/>
      <c r="G4" s="5"/>
      <c r="H4" s="5"/>
      <c r="I4" s="5"/>
      <c r="J4" s="5"/>
      <c r="K4" s="5"/>
      <c r="L4" s="5"/>
      <c r="M4" s="5"/>
    </row>
    <row r="5" spans="1:15">
      <c r="A5" s="4" t="s">
        <v>1</v>
      </c>
      <c r="B5" s="5">
        <v>4900</v>
      </c>
      <c r="C5" s="5" t="s">
        <v>48</v>
      </c>
      <c r="D5" s="7">
        <f>B5/B8</f>
        <v>5.6976744186046515</v>
      </c>
      <c r="E5" s="6" t="s">
        <v>2</v>
      </c>
      <c r="F5" s="5"/>
      <c r="G5" s="1"/>
      <c r="H5" s="2"/>
      <c r="I5" s="2" t="s">
        <v>46</v>
      </c>
      <c r="J5" s="2" t="s">
        <v>17</v>
      </c>
      <c r="K5" s="2" t="s">
        <v>52</v>
      </c>
      <c r="L5" s="40" t="s">
        <v>78</v>
      </c>
      <c r="M5" s="41" t="s">
        <v>79</v>
      </c>
    </row>
    <row r="6" spans="1:15">
      <c r="A6" s="4" t="s">
        <v>3</v>
      </c>
      <c r="B6" s="5">
        <v>8550</v>
      </c>
      <c r="C6" s="5" t="s">
        <v>44</v>
      </c>
      <c r="D6" s="7">
        <f>B6/B8</f>
        <v>9.9418604651162799</v>
      </c>
      <c r="E6" s="6" t="s">
        <v>4</v>
      </c>
      <c r="F6" s="5"/>
      <c r="G6" s="4" t="s">
        <v>16</v>
      </c>
      <c r="H6" s="5"/>
      <c r="I6" s="8">
        <f>B16</f>
        <v>0.16789999999999999</v>
      </c>
      <c r="J6" s="15">
        <v>0.97</v>
      </c>
      <c r="K6" s="24">
        <f>$B$43+($B$43*(100%-J6))</f>
        <v>16010.32</v>
      </c>
      <c r="L6" s="39">
        <f>(K6*I6)</f>
        <v>2688.132728</v>
      </c>
      <c r="M6" s="23">
        <f>L6+L6*$B$56</f>
        <v>3171.99661904</v>
      </c>
    </row>
    <row r="7" spans="1:15" ht="17.25">
      <c r="A7" s="4" t="s">
        <v>5</v>
      </c>
      <c r="B7" s="5">
        <v>10</v>
      </c>
      <c r="C7" s="5" t="s">
        <v>6</v>
      </c>
      <c r="D7" s="8"/>
      <c r="E7" s="6"/>
      <c r="F7" s="5"/>
      <c r="G7" s="4" t="s">
        <v>53</v>
      </c>
      <c r="H7" s="5"/>
      <c r="I7" s="8">
        <f>B15</f>
        <v>4.8936569999999999E-2</v>
      </c>
      <c r="J7" s="15">
        <v>0.92</v>
      </c>
      <c r="K7" s="24">
        <f t="shared" ref="K7:K11" si="0">$B$43+($B$43*(100%-J7))</f>
        <v>16787.52</v>
      </c>
      <c r="L7" s="39">
        <f>(K7*I7)</f>
        <v>821.5236476064</v>
      </c>
      <c r="M7" s="23">
        <f>L7+L7*$B$56</f>
        <v>969.39790417555196</v>
      </c>
    </row>
    <row r="8" spans="1:15">
      <c r="A8" s="4" t="s">
        <v>8</v>
      </c>
      <c r="B8" s="5">
        <v>860</v>
      </c>
      <c r="C8" s="5" t="s">
        <v>45</v>
      </c>
      <c r="D8" s="8"/>
      <c r="E8" s="6"/>
      <c r="F8" s="5"/>
      <c r="G8" s="4" t="s">
        <v>43</v>
      </c>
      <c r="H8" s="5"/>
      <c r="I8" s="7">
        <f>B18/D6</f>
        <v>0.10732397660818713</v>
      </c>
      <c r="J8" s="15">
        <v>0.9</v>
      </c>
      <c r="K8" s="24">
        <f t="shared" si="0"/>
        <v>17098.400000000001</v>
      </c>
      <c r="L8" s="39">
        <f>(K8*I8)</f>
        <v>1835.0682816374269</v>
      </c>
      <c r="M8" s="23">
        <f>L8+L8*$B$56</f>
        <v>2165.3805723321639</v>
      </c>
    </row>
    <row r="9" spans="1:15">
      <c r="A9" s="4" t="s">
        <v>49</v>
      </c>
      <c r="B9" s="5">
        <v>3.6</v>
      </c>
      <c r="C9" s="5" t="s">
        <v>2</v>
      </c>
      <c r="D9" s="8">
        <f>B9/B8</f>
        <v>4.1860465116279073E-3</v>
      </c>
      <c r="E9" s="6" t="s">
        <v>2</v>
      </c>
      <c r="F9" s="5"/>
      <c r="G9" s="4" t="s">
        <v>18</v>
      </c>
      <c r="H9" s="5"/>
      <c r="I9" s="30">
        <f>B19/D10</f>
        <v>6.5216666666666673E-2</v>
      </c>
      <c r="J9" s="15">
        <v>0.9</v>
      </c>
      <c r="K9" s="24">
        <f t="shared" si="0"/>
        <v>17098.400000000001</v>
      </c>
      <c r="L9" s="39">
        <f t="shared" ref="L9:L10" si="1">(K9*I9)</f>
        <v>1115.1006533333336</v>
      </c>
      <c r="M9" s="23">
        <f t="shared" ref="M9:M11" si="2">L9+L9*$B$56</f>
        <v>1315.8187709333338</v>
      </c>
    </row>
    <row r="10" spans="1:15">
      <c r="A10" s="4" t="s">
        <v>47</v>
      </c>
      <c r="B10" s="5">
        <v>12000</v>
      </c>
      <c r="C10" s="5" t="s">
        <v>48</v>
      </c>
      <c r="D10" s="7">
        <f>B10/B8</f>
        <v>13.953488372093023</v>
      </c>
      <c r="E10" s="6" t="s">
        <v>2</v>
      </c>
      <c r="F10" s="5"/>
      <c r="G10" s="4" t="s">
        <v>19</v>
      </c>
      <c r="H10" s="5"/>
      <c r="I10" s="30">
        <f>D17/D5</f>
        <v>3.3931972789115646E-2</v>
      </c>
      <c r="J10" s="15">
        <v>0.92</v>
      </c>
      <c r="K10" s="24">
        <f t="shared" si="0"/>
        <v>16787.52</v>
      </c>
      <c r="L10" s="39">
        <f t="shared" si="1"/>
        <v>569.63367183673472</v>
      </c>
      <c r="M10" s="23">
        <f>L10+L10*$B$56</f>
        <v>672.16773276734693</v>
      </c>
    </row>
    <row r="11" spans="1:15" ht="15.75" thickBot="1">
      <c r="A11" s="4"/>
      <c r="B11" s="5"/>
      <c r="C11" s="5"/>
      <c r="D11" s="5"/>
      <c r="E11" s="6"/>
      <c r="F11" s="5"/>
      <c r="G11" s="9" t="s">
        <v>20</v>
      </c>
      <c r="H11" s="10"/>
      <c r="I11" s="31">
        <f>B20/B9</f>
        <v>1.6666666666666666E-2</v>
      </c>
      <c r="J11" s="16">
        <v>0.87</v>
      </c>
      <c r="K11" s="25">
        <f t="shared" si="0"/>
        <v>17564.72</v>
      </c>
      <c r="L11" s="20">
        <f>(K11*I11)</f>
        <v>292.74533333333335</v>
      </c>
      <c r="M11" s="21">
        <f t="shared" si="2"/>
        <v>345.43949333333336</v>
      </c>
    </row>
    <row r="12" spans="1:15" ht="15.75" thickBot="1">
      <c r="A12" s="9"/>
      <c r="B12" s="10"/>
      <c r="C12" s="10"/>
      <c r="D12" s="10"/>
      <c r="E12" s="11"/>
      <c r="F12" s="5"/>
    </row>
    <row r="13" spans="1:15">
      <c r="A13" s="1"/>
      <c r="B13" s="48" t="s">
        <v>7</v>
      </c>
      <c r="C13" s="48"/>
      <c r="D13" s="2"/>
      <c r="E13" s="3"/>
      <c r="F13" s="5"/>
      <c r="G13" s="49"/>
      <c r="H13" s="49"/>
      <c r="M13" s="38"/>
      <c r="O13" s="29"/>
    </row>
    <row r="14" spans="1:15">
      <c r="A14" s="4"/>
      <c r="B14" s="5"/>
      <c r="C14" s="5"/>
      <c r="D14" s="5"/>
      <c r="E14" s="6"/>
      <c r="F14" s="5"/>
      <c r="L14" s="46"/>
    </row>
    <row r="15" spans="1:15">
      <c r="A15" s="4" t="s">
        <v>5</v>
      </c>
      <c r="B15" s="5">
        <v>4.8936569999999999E-2</v>
      </c>
      <c r="C15" s="5" t="s">
        <v>14</v>
      </c>
      <c r="D15" s="5"/>
      <c r="E15" s="6"/>
      <c r="F15" s="5"/>
      <c r="K15" s="47"/>
      <c r="N15" s="38"/>
      <c r="O15" s="38"/>
    </row>
    <row r="16" spans="1:15">
      <c r="A16" s="4" t="s">
        <v>8</v>
      </c>
      <c r="B16" s="5">
        <v>0.16789999999999999</v>
      </c>
      <c r="C16" s="5" t="s">
        <v>11</v>
      </c>
      <c r="D16" s="5"/>
      <c r="E16" s="6"/>
      <c r="F16" s="5"/>
      <c r="K16" s="47"/>
      <c r="N16" s="38"/>
      <c r="O16" s="38"/>
    </row>
    <row r="17" spans="1:13">
      <c r="A17" s="4" t="s">
        <v>9</v>
      </c>
      <c r="B17" s="5">
        <v>2.9</v>
      </c>
      <c r="C17" s="5" t="s">
        <v>12</v>
      </c>
      <c r="D17" s="12">
        <f>B17/15</f>
        <v>0.19333333333333333</v>
      </c>
      <c r="E17" s="6" t="s">
        <v>13</v>
      </c>
      <c r="F17" s="5"/>
    </row>
    <row r="18" spans="1:13">
      <c r="A18" s="4" t="s">
        <v>10</v>
      </c>
      <c r="B18" s="5">
        <v>1.0669999999999999</v>
      </c>
      <c r="C18" s="5" t="s">
        <v>15</v>
      </c>
      <c r="D18" s="5"/>
      <c r="E18" s="6"/>
      <c r="F18" s="5"/>
      <c r="L18" s="38"/>
    </row>
    <row r="19" spans="1:13">
      <c r="A19" s="4" t="s">
        <v>72</v>
      </c>
      <c r="B19" s="5">
        <v>0.91</v>
      </c>
      <c r="C19" s="5" t="s">
        <v>13</v>
      </c>
      <c r="D19" s="5"/>
      <c r="E19" s="6"/>
      <c r="F19" s="5"/>
    </row>
    <row r="20" spans="1:13">
      <c r="A20" s="4" t="s">
        <v>49</v>
      </c>
      <c r="B20" s="5">
        <v>0.06</v>
      </c>
      <c r="C20" s="5" t="s">
        <v>13</v>
      </c>
      <c r="D20" s="5"/>
      <c r="E20" s="6"/>
      <c r="F20" s="5"/>
    </row>
    <row r="21" spans="1:13" ht="15.75" thickBot="1">
      <c r="A21" s="9"/>
      <c r="B21" s="10"/>
      <c r="C21" s="10"/>
      <c r="D21" s="10"/>
      <c r="E21" s="11"/>
      <c r="F21" s="5"/>
      <c r="K21" s="47"/>
      <c r="L21" s="38"/>
    </row>
    <row r="22" spans="1:13">
      <c r="A22" s="1"/>
      <c r="B22" s="48" t="s">
        <v>21</v>
      </c>
      <c r="C22" s="48"/>
      <c r="D22" s="2"/>
      <c r="E22" s="3"/>
      <c r="F22" s="5"/>
      <c r="K22" s="47"/>
      <c r="L22" s="38"/>
    </row>
    <row r="23" spans="1:13">
      <c r="A23" s="4"/>
      <c r="B23" s="5"/>
      <c r="C23" s="5"/>
      <c r="D23" s="5"/>
      <c r="E23" s="6"/>
      <c r="F23" s="5"/>
      <c r="L23" s="38"/>
    </row>
    <row r="24" spans="1:13" ht="17.25">
      <c r="A24" s="4" t="s">
        <v>22</v>
      </c>
      <c r="B24" s="5"/>
      <c r="C24" s="5"/>
      <c r="D24" s="5">
        <v>100</v>
      </c>
      <c r="E24" s="6" t="s">
        <v>40</v>
      </c>
      <c r="F24" s="5"/>
      <c r="K24" s="47"/>
    </row>
    <row r="25" spans="1:13" ht="17.25">
      <c r="A25" s="4" t="s">
        <v>23</v>
      </c>
      <c r="B25" s="5"/>
      <c r="C25" s="5"/>
      <c r="D25" s="5">
        <v>80</v>
      </c>
      <c r="E25" s="6" t="s">
        <v>41</v>
      </c>
      <c r="F25" s="5"/>
      <c r="K25" s="47"/>
    </row>
    <row r="26" spans="1:13">
      <c r="A26" s="4" t="s">
        <v>24</v>
      </c>
      <c r="B26" s="5"/>
      <c r="C26" s="5"/>
      <c r="D26" s="5">
        <f>D41</f>
        <v>1943</v>
      </c>
      <c r="E26" s="6" t="s">
        <v>42</v>
      </c>
      <c r="F26" s="5"/>
      <c r="L26" s="38"/>
    </row>
    <row r="27" spans="1:13">
      <c r="A27" s="4"/>
      <c r="B27" s="5"/>
      <c r="C27" s="5"/>
      <c r="D27" s="5"/>
      <c r="E27" s="6"/>
      <c r="F27" s="5"/>
    </row>
    <row r="28" spans="1:13" ht="15.75" thickBot="1">
      <c r="A28" s="13" t="s">
        <v>37</v>
      </c>
      <c r="B28" s="8"/>
      <c r="C28" s="8" t="s">
        <v>38</v>
      </c>
      <c r="D28" s="8" t="s">
        <v>39</v>
      </c>
      <c r="E28" s="6"/>
      <c r="F28" s="5"/>
    </row>
    <row r="29" spans="1:13">
      <c r="A29" s="4" t="s">
        <v>25</v>
      </c>
      <c r="B29" s="5"/>
      <c r="C29" s="8">
        <v>31</v>
      </c>
      <c r="D29" s="8">
        <v>8</v>
      </c>
      <c r="E29" s="6"/>
      <c r="F29" s="2"/>
      <c r="G29" s="18" t="s">
        <v>54</v>
      </c>
      <c r="H29" s="18" t="s">
        <v>55</v>
      </c>
      <c r="I29" s="18" t="s">
        <v>56</v>
      </c>
      <c r="J29" s="18" t="s">
        <v>57</v>
      </c>
      <c r="K29" s="18" t="s">
        <v>58</v>
      </c>
      <c r="L29" s="18" t="s">
        <v>59</v>
      </c>
      <c r="M29" s="19" t="s">
        <v>60</v>
      </c>
    </row>
    <row r="30" spans="1:13">
      <c r="A30" s="4" t="s">
        <v>26</v>
      </c>
      <c r="B30" s="5"/>
      <c r="C30" s="8">
        <v>28</v>
      </c>
      <c r="D30" s="8">
        <v>7</v>
      </c>
      <c r="E30" s="6"/>
      <c r="F30" s="5" t="s">
        <v>61</v>
      </c>
      <c r="G30" s="8">
        <v>0</v>
      </c>
      <c r="H30" s="8">
        <f>(B45+D45)*B56+(B45+D45)</f>
        <v>6549</v>
      </c>
      <c r="I30" s="8">
        <f>(B46+D46)+(B46+D46)*B56</f>
        <v>3068</v>
      </c>
      <c r="J30" s="8">
        <f>(B47+D47)+(B47+D47)*B56</f>
        <v>4366</v>
      </c>
      <c r="K30" s="8">
        <f>I30</f>
        <v>3068</v>
      </c>
      <c r="L30" s="8">
        <f>(B48+D48)+(B48+D48)*B57</f>
        <v>7128</v>
      </c>
      <c r="M30" s="14">
        <f>(B49+D49)+(B49+D49)*B57</f>
        <v>11016</v>
      </c>
    </row>
    <row r="31" spans="1:13">
      <c r="A31" s="4" t="s">
        <v>27</v>
      </c>
      <c r="B31" s="5"/>
      <c r="C31" s="8">
        <v>31</v>
      </c>
      <c r="D31" s="8">
        <v>6</v>
      </c>
      <c r="E31" s="6"/>
      <c r="F31" s="5" t="s">
        <v>62</v>
      </c>
      <c r="G31" s="8">
        <v>1</v>
      </c>
      <c r="H31" s="7">
        <f>(L6)*(1+B56)</f>
        <v>3171.99661904</v>
      </c>
      <c r="I31" s="7">
        <f>(L7+(D50*(D51+1))+B55*12)*(1+B56)</f>
        <v>1529.0719041755517</v>
      </c>
      <c r="J31" s="7">
        <f>(L8+(D50*(1+D51)))*(1+B56)</f>
        <v>2385.2145723321637</v>
      </c>
      <c r="K31" s="7">
        <f>(M9+(D50*(1+D51))+B55*12)*(1+B56)</f>
        <v>2112.3401497013338</v>
      </c>
      <c r="L31" s="7">
        <f>(L10+D50*(1+D51))*(1+B57)</f>
        <v>816.40836558367346</v>
      </c>
      <c r="M31" s="17">
        <f>((M11+D50*(1+D51))*(1+B57))</f>
        <v>574.27865280000003</v>
      </c>
    </row>
    <row r="32" spans="1:13">
      <c r="A32" s="4" t="s">
        <v>28</v>
      </c>
      <c r="B32" s="5"/>
      <c r="C32" s="8">
        <v>30</v>
      </c>
      <c r="D32" s="8">
        <v>5</v>
      </c>
      <c r="E32" s="6"/>
      <c r="F32" s="5" t="s">
        <v>62</v>
      </c>
      <c r="G32" s="8">
        <v>2</v>
      </c>
      <c r="H32" s="7">
        <f>H31+H31*$B$50</f>
        <v>3283.0165007064002</v>
      </c>
      <c r="I32" s="7">
        <f>I31+I31*$B$51</f>
        <v>1651.3976565095959</v>
      </c>
      <c r="J32" s="7">
        <f>J31+J31*$B$52</f>
        <v>2623.7360295653802</v>
      </c>
      <c r="K32" s="7">
        <f>K31+K31*$B$51</f>
        <v>2281.3273616774404</v>
      </c>
      <c r="L32" s="7">
        <f>L31+L31*$B$53</f>
        <v>844.98265837910208</v>
      </c>
      <c r="M32" s="17">
        <f>M31+M31*$B$54</f>
        <v>585.76422585600005</v>
      </c>
    </row>
    <row r="33" spans="1:13">
      <c r="A33" s="4" t="s">
        <v>29</v>
      </c>
      <c r="B33" s="5"/>
      <c r="C33" s="8">
        <v>31</v>
      </c>
      <c r="D33" s="8">
        <v>4</v>
      </c>
      <c r="E33" s="6"/>
      <c r="F33" s="5" t="s">
        <v>62</v>
      </c>
      <c r="G33" s="8">
        <v>3</v>
      </c>
      <c r="H33" s="7">
        <f t="shared" ref="H33:H40" si="3">H32+H32*$B$50</f>
        <v>3397.922078231124</v>
      </c>
      <c r="I33" s="7">
        <f>I32+I32*$B$51</f>
        <v>1783.5094690303636</v>
      </c>
      <c r="J33" s="7">
        <f>J32+J32*$B$52</f>
        <v>2886.1096325219182</v>
      </c>
      <c r="K33" s="7">
        <f t="shared" ref="K33:K40" si="4">K32+K32*$B$51</f>
        <v>2463.8335506116355</v>
      </c>
      <c r="L33" s="7">
        <f t="shared" ref="L33:L40" si="5">L32+L32*$B$53</f>
        <v>874.55705142237071</v>
      </c>
      <c r="M33" s="17">
        <f t="shared" ref="M33:M40" si="6">M32+M32*$B$54</f>
        <v>597.47951037312009</v>
      </c>
    </row>
    <row r="34" spans="1:13">
      <c r="A34" s="4" t="s">
        <v>30</v>
      </c>
      <c r="B34" s="5"/>
      <c r="C34" s="8">
        <v>30</v>
      </c>
      <c r="D34" s="8">
        <v>4</v>
      </c>
      <c r="E34" s="6"/>
      <c r="F34" s="5" t="s">
        <v>62</v>
      </c>
      <c r="G34" s="8">
        <v>4</v>
      </c>
      <c r="H34" s="7">
        <f t="shared" si="3"/>
        <v>3516.8493509692134</v>
      </c>
      <c r="I34" s="7">
        <f t="shared" ref="I34:I40" si="7">I33+I33*$B$51</f>
        <v>1926.1902265527926</v>
      </c>
      <c r="J34" s="7">
        <f t="shared" ref="J34:J40" si="8">J33+J33*$B$52</f>
        <v>3174.7205957741098</v>
      </c>
      <c r="K34" s="7">
        <f t="shared" si="4"/>
        <v>2660.9402346605661</v>
      </c>
      <c r="L34" s="7">
        <f t="shared" si="5"/>
        <v>905.16654822215366</v>
      </c>
      <c r="M34" s="17">
        <f t="shared" si="6"/>
        <v>609.42910058058249</v>
      </c>
    </row>
    <row r="35" spans="1:13">
      <c r="A35" s="4" t="s">
        <v>31</v>
      </c>
      <c r="B35" s="5"/>
      <c r="C35" s="8">
        <v>31</v>
      </c>
      <c r="D35" s="8">
        <v>3</v>
      </c>
      <c r="E35" s="6"/>
      <c r="F35" s="5" t="s">
        <v>62</v>
      </c>
      <c r="G35" s="8">
        <v>5</v>
      </c>
      <c r="H35" s="7">
        <f t="shared" si="3"/>
        <v>3639.9390782531359</v>
      </c>
      <c r="I35" s="7">
        <f t="shared" si="7"/>
        <v>2080.2854446770161</v>
      </c>
      <c r="J35" s="7">
        <f t="shared" si="8"/>
        <v>3492.1926553515209</v>
      </c>
      <c r="K35" s="7">
        <f t="shared" si="4"/>
        <v>2873.8154534334117</v>
      </c>
      <c r="L35" s="7">
        <f t="shared" si="5"/>
        <v>936.84737740992909</v>
      </c>
      <c r="M35" s="17">
        <f t="shared" si="6"/>
        <v>621.61768259219411</v>
      </c>
    </row>
    <row r="36" spans="1:13">
      <c r="A36" s="4" t="s">
        <v>32</v>
      </c>
      <c r="B36" s="5"/>
      <c r="C36" s="8">
        <v>31</v>
      </c>
      <c r="D36" s="8">
        <v>3</v>
      </c>
      <c r="E36" s="6"/>
      <c r="F36" s="5" t="s">
        <v>62</v>
      </c>
      <c r="G36" s="8">
        <v>6</v>
      </c>
      <c r="H36" s="7">
        <f t="shared" si="3"/>
        <v>3767.3369459919959</v>
      </c>
      <c r="I36" s="7">
        <f t="shared" si="7"/>
        <v>2246.7082802511773</v>
      </c>
      <c r="J36" s="7">
        <f t="shared" si="8"/>
        <v>3841.4119208866732</v>
      </c>
      <c r="K36" s="7">
        <f t="shared" si="4"/>
        <v>3103.7206897080846</v>
      </c>
      <c r="L36" s="7">
        <f t="shared" si="5"/>
        <v>969.63703561927662</v>
      </c>
      <c r="M36" s="17">
        <f t="shared" si="6"/>
        <v>634.05003624403798</v>
      </c>
    </row>
    <row r="37" spans="1:13">
      <c r="A37" s="4" t="s">
        <v>33</v>
      </c>
      <c r="B37" s="5"/>
      <c r="C37" s="8">
        <v>30</v>
      </c>
      <c r="D37" s="8">
        <v>4</v>
      </c>
      <c r="E37" s="6"/>
      <c r="F37" s="5" t="s">
        <v>62</v>
      </c>
      <c r="G37" s="8">
        <v>7</v>
      </c>
      <c r="H37" s="7">
        <f t="shared" si="3"/>
        <v>3899.1937391017159</v>
      </c>
      <c r="I37" s="7">
        <f t="shared" si="7"/>
        <v>2426.4449426712713</v>
      </c>
      <c r="J37" s="7">
        <f t="shared" si="8"/>
        <v>4225.5531129753408</v>
      </c>
      <c r="K37" s="7">
        <f t="shared" si="4"/>
        <v>3352.0183448847315</v>
      </c>
      <c r="L37" s="7">
        <f t="shared" si="5"/>
        <v>1003.5743318659513</v>
      </c>
      <c r="M37" s="17">
        <f t="shared" si="6"/>
        <v>646.73103696891872</v>
      </c>
    </row>
    <row r="38" spans="1:13">
      <c r="A38" s="4" t="s">
        <v>34</v>
      </c>
      <c r="B38" s="5"/>
      <c r="C38" s="8">
        <v>31</v>
      </c>
      <c r="D38" s="8">
        <v>5</v>
      </c>
      <c r="E38" s="6"/>
      <c r="F38" s="5" t="s">
        <v>62</v>
      </c>
      <c r="G38" s="8">
        <v>8</v>
      </c>
      <c r="H38" s="7">
        <f t="shared" si="3"/>
        <v>4035.6655199702759</v>
      </c>
      <c r="I38" s="7">
        <f t="shared" si="7"/>
        <v>2620.5605380849729</v>
      </c>
      <c r="J38" s="7">
        <f t="shared" si="8"/>
        <v>4648.1084242728748</v>
      </c>
      <c r="K38" s="7">
        <f t="shared" si="4"/>
        <v>3620.1798124755101</v>
      </c>
      <c r="L38" s="7">
        <f t="shared" si="5"/>
        <v>1038.6994334812596</v>
      </c>
      <c r="M38" s="17">
        <f t="shared" si="6"/>
        <v>659.66565770829709</v>
      </c>
    </row>
    <row r="39" spans="1:13">
      <c r="A39" s="4" t="s">
        <v>35</v>
      </c>
      <c r="B39" s="5"/>
      <c r="C39" s="8">
        <v>30</v>
      </c>
      <c r="D39" s="8">
        <v>7</v>
      </c>
      <c r="E39" s="6"/>
      <c r="F39" s="5" t="s">
        <v>62</v>
      </c>
      <c r="G39" s="8">
        <v>9</v>
      </c>
      <c r="H39" s="7">
        <f t="shared" si="3"/>
        <v>4176.9138131692353</v>
      </c>
      <c r="I39" s="7">
        <f t="shared" si="7"/>
        <v>2830.2053811317705</v>
      </c>
      <c r="J39" s="7">
        <f t="shared" si="8"/>
        <v>5112.9192667001626</v>
      </c>
      <c r="K39" s="7">
        <f t="shared" si="4"/>
        <v>3909.7941974735509</v>
      </c>
      <c r="L39" s="7">
        <f t="shared" si="5"/>
        <v>1075.0539136531036</v>
      </c>
      <c r="M39" s="17">
        <f t="shared" si="6"/>
        <v>672.85897086246302</v>
      </c>
    </row>
    <row r="40" spans="1:13">
      <c r="A40" s="4" t="s">
        <v>36</v>
      </c>
      <c r="B40" s="5"/>
      <c r="C40" s="8">
        <v>31</v>
      </c>
      <c r="D40" s="8">
        <v>8</v>
      </c>
      <c r="E40" s="6"/>
      <c r="F40" s="5" t="s">
        <v>62</v>
      </c>
      <c r="G40" s="8">
        <v>10</v>
      </c>
      <c r="H40" s="7">
        <f t="shared" si="3"/>
        <v>4323.1057966301587</v>
      </c>
      <c r="I40" s="7">
        <f t="shared" si="7"/>
        <v>3056.6218116223122</v>
      </c>
      <c r="J40" s="7">
        <f t="shared" si="8"/>
        <v>5624.211193370179</v>
      </c>
      <c r="K40" s="7">
        <f t="shared" si="4"/>
        <v>4222.5777332714351</v>
      </c>
      <c r="L40" s="7">
        <f t="shared" si="5"/>
        <v>1112.6808006309623</v>
      </c>
      <c r="M40" s="17">
        <f t="shared" si="6"/>
        <v>686.31615027971225</v>
      </c>
    </row>
    <row r="41" spans="1:13" ht="15.75" thickBot="1">
      <c r="A41" s="4"/>
      <c r="B41" s="5"/>
      <c r="C41" s="8">
        <f>SUM(C37:C40)</f>
        <v>122</v>
      </c>
      <c r="D41" s="8">
        <f>C29*D29+C30*D30+C31*D31+C32*D32+C33*D33+C34*D34+C35*D35+C36*D36+C37*D37+C38*D38+C39*D39+C40*D40</f>
        <v>1943</v>
      </c>
      <c r="E41" s="6"/>
      <c r="F41" s="27" t="s">
        <v>69</v>
      </c>
      <c r="G41" s="10"/>
      <c r="H41" s="20">
        <f>SUM(H30:H40)</f>
        <v>43760.93944206326</v>
      </c>
      <c r="I41" s="44">
        <f t="shared" ref="I41:M41" si="9">SUM(I30:I40)</f>
        <v>25218.995654706829</v>
      </c>
      <c r="J41" s="22">
        <f t="shared" si="9"/>
        <v>42380.177403750327</v>
      </c>
      <c r="K41" s="20">
        <f t="shared" si="9"/>
        <v>33668.547527897696</v>
      </c>
      <c r="L41" s="22">
        <f t="shared" si="9"/>
        <v>16705.607516267784</v>
      </c>
      <c r="M41" s="45">
        <f t="shared" si="9"/>
        <v>17304.191024265325</v>
      </c>
    </row>
    <row r="42" spans="1:13">
      <c r="A42" s="4"/>
      <c r="B42" s="5"/>
      <c r="C42" s="5"/>
      <c r="D42" s="5"/>
      <c r="E42" s="6"/>
    </row>
    <row r="43" spans="1:13" ht="15.75" thickBot="1">
      <c r="A43" s="9" t="s">
        <v>50</v>
      </c>
      <c r="B43" s="43">
        <f>D24*D25*D26/1000</f>
        <v>15544</v>
      </c>
      <c r="C43" s="10" t="s">
        <v>51</v>
      </c>
      <c r="D43" s="10"/>
      <c r="E43" s="11"/>
    </row>
    <row r="44" spans="1:13">
      <c r="A44" s="1"/>
      <c r="B44" s="28" t="s">
        <v>63</v>
      </c>
      <c r="C44" s="2"/>
      <c r="D44" s="2"/>
      <c r="E44" s="3"/>
    </row>
    <row r="45" spans="1:13">
      <c r="A45" s="4" t="s">
        <v>55</v>
      </c>
      <c r="B45" s="8">
        <v>4600</v>
      </c>
      <c r="C45" s="5" t="s">
        <v>74</v>
      </c>
      <c r="D45" s="5">
        <v>950</v>
      </c>
      <c r="E45" s="6"/>
    </row>
    <row r="46" spans="1:13">
      <c r="A46" s="4" t="s">
        <v>73</v>
      </c>
      <c r="B46" s="8">
        <v>1400</v>
      </c>
      <c r="C46" s="5" t="s">
        <v>74</v>
      </c>
      <c r="D46" s="5">
        <v>1200</v>
      </c>
      <c r="E46" s="6"/>
    </row>
    <row r="47" spans="1:13">
      <c r="A47" s="4" t="s">
        <v>43</v>
      </c>
      <c r="B47" s="8">
        <v>2500</v>
      </c>
      <c r="C47" s="5" t="s">
        <v>74</v>
      </c>
      <c r="D47" s="5">
        <v>1200</v>
      </c>
      <c r="E47" s="6"/>
      <c r="K47" s="38"/>
    </row>
    <row r="48" spans="1:13">
      <c r="A48" s="4" t="s">
        <v>19</v>
      </c>
      <c r="B48" s="8">
        <v>5400</v>
      </c>
      <c r="C48" s="5" t="s">
        <v>74</v>
      </c>
      <c r="D48" s="5">
        <v>1200</v>
      </c>
      <c r="E48" s="6"/>
      <c r="K48" s="38"/>
    </row>
    <row r="49" spans="1:7">
      <c r="A49" s="4" t="s">
        <v>20</v>
      </c>
      <c r="B49" s="8">
        <v>8600</v>
      </c>
      <c r="C49" s="5" t="s">
        <v>74</v>
      </c>
      <c r="D49" s="5">
        <v>1600</v>
      </c>
      <c r="E49" s="6"/>
    </row>
    <row r="50" spans="1:7">
      <c r="A50" s="4" t="s">
        <v>64</v>
      </c>
      <c r="B50" s="26">
        <v>3.5000000000000003E-2</v>
      </c>
      <c r="C50" s="32" t="s">
        <v>75</v>
      </c>
      <c r="D50" s="5">
        <v>180</v>
      </c>
      <c r="E50" s="6" t="s">
        <v>76</v>
      </c>
    </row>
    <row r="51" spans="1:7">
      <c r="A51" s="4" t="s">
        <v>65</v>
      </c>
      <c r="B51" s="15">
        <v>0.08</v>
      </c>
      <c r="C51" s="32" t="s">
        <v>77</v>
      </c>
      <c r="D51" s="37">
        <v>3.5000000000000003E-2</v>
      </c>
      <c r="E51" s="6"/>
    </row>
    <row r="52" spans="1:7">
      <c r="A52" s="4" t="s">
        <v>66</v>
      </c>
      <c r="B52" s="15">
        <v>0.1</v>
      </c>
      <c r="C52" s="5"/>
      <c r="D52" s="5"/>
      <c r="E52" s="6"/>
    </row>
    <row r="53" spans="1:7">
      <c r="A53" s="4" t="s">
        <v>67</v>
      </c>
      <c r="B53" s="26">
        <v>3.5000000000000003E-2</v>
      </c>
      <c r="C53" s="5"/>
      <c r="D53" s="5"/>
      <c r="E53" s="6"/>
    </row>
    <row r="54" spans="1:7">
      <c r="A54" s="4" t="s">
        <v>68</v>
      </c>
      <c r="B54" s="15">
        <v>0.02</v>
      </c>
      <c r="C54" s="5"/>
      <c r="D54" s="5"/>
      <c r="E54" s="6"/>
    </row>
    <row r="55" spans="1:7">
      <c r="A55" s="34" t="s">
        <v>70</v>
      </c>
      <c r="B55" s="33">
        <v>24</v>
      </c>
      <c r="C55" s="5" t="s">
        <v>71</v>
      </c>
      <c r="D55" s="5"/>
      <c r="E55" s="6"/>
    </row>
    <row r="56" spans="1:7">
      <c r="A56" s="35" t="s">
        <v>80</v>
      </c>
      <c r="B56" s="15">
        <v>0.18</v>
      </c>
      <c r="C56" s="5"/>
      <c r="D56" s="5"/>
      <c r="E56" s="6"/>
    </row>
    <row r="57" spans="1:7">
      <c r="A57" s="42" t="s">
        <v>81</v>
      </c>
      <c r="B57" s="15">
        <v>0.08</v>
      </c>
      <c r="C57" s="5"/>
      <c r="D57" s="5"/>
      <c r="E57" s="6"/>
    </row>
    <row r="58" spans="1:7" ht="15.75" thickBot="1">
      <c r="A58" s="36"/>
      <c r="B58" s="10"/>
      <c r="C58" s="10"/>
      <c r="D58" s="10"/>
      <c r="E58" s="11"/>
    </row>
    <row r="62" spans="1:7">
      <c r="G62">
        <f>200*1473</f>
        <v>294600</v>
      </c>
    </row>
  </sheetData>
  <mergeCells count="5">
    <mergeCell ref="B3:C3"/>
    <mergeCell ref="B22:C22"/>
    <mergeCell ref="G13:H13"/>
    <mergeCell ref="B13:C13"/>
    <mergeCell ref="I3:J3"/>
  </mergeCells>
  <printOptions horizontalCentered="1" verticalCentered="1"/>
  <pageMargins left="0" right="0" top="0" bottom="0" header="0" footer="0"/>
  <pageSetup paperSize="9" scale="63" orientation="landscape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2012-02-20T10:33:17Z</dcterms:modified>
</cp:coreProperties>
</file>