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5" yWindow="-15" windowWidth="9570" windowHeight="9120" tabRatio="934"/>
  </bookViews>
  <sheets>
    <sheet name="Cálculo de consumo" sheetId="1" r:id="rId1"/>
    <sheet name="Intensidad y Ángulo incli." sheetId="2" r:id="rId2"/>
    <sheet name="Dimensionado Batería" sheetId="3" r:id="rId3"/>
    <sheet name="Dimensionado PV" sheetId="4" r:id="rId4"/>
    <sheet name="Gráficos" sheetId="6" r:id="rId5"/>
    <sheet name="Regulador de carga" sheetId="7" r:id="rId6"/>
    <sheet name="Acon.de potencia" sheetId="8" r:id="rId7"/>
    <sheet name="Comp. protección" sheetId="9" r:id="rId8"/>
    <sheet name="Cableado" sheetId="10" r:id="rId9"/>
    <sheet name="Hibrido" sheetId="12" r:id="rId10"/>
    <sheet name="Ciclo de vida" sheetId="11" r:id="rId11"/>
    <sheet name="Radiación" sheetId="5" r:id="rId12"/>
  </sheets>
  <definedNames>
    <definedName name="_xlnm.Print_Area" localSheetId="0">'Cálculo de consumo'!$B$1:$M$36</definedName>
    <definedName name="_xlnm.Print_Area" localSheetId="10">'Ciclo de vida'!$B$1:$U$76</definedName>
    <definedName name="_xlnm.Print_Area" localSheetId="7">'Comp. protección'!$A$1:$R$48</definedName>
    <definedName name="_xlnm.Print_Area" localSheetId="2">'Dimensionado Batería'!$B$1:$N$27</definedName>
    <definedName name="_xlnm.Print_Area" localSheetId="3">'Dimensionado PV'!$A$1:$P$39</definedName>
    <definedName name="_xlnm.Print_Area" localSheetId="4">Gráficos!$A$1:$P$33</definedName>
    <definedName name="_xlnm.Print_Area" localSheetId="9">Hibrido!$C$1:$S$39</definedName>
    <definedName name="_xlnm.Print_Area" localSheetId="1">'Intensidad y Ángulo incli.'!$A$1:$V$50</definedName>
    <definedName name="_xlnm.Print_Area" localSheetId="5">'Regulador de carga'!$A$1:$P$31</definedName>
  </definedNames>
  <calcPr calcId="125725"/>
</workbook>
</file>

<file path=xl/calcChain.xml><?xml version="1.0" encoding="utf-8"?>
<calcChain xmlns="http://schemas.openxmlformats.org/spreadsheetml/2006/main">
  <c r="F11" i="3"/>
  <c r="U10" i="8"/>
  <c r="U18" i="3"/>
  <c r="S20" i="4"/>
  <c r="T19" s="1"/>
  <c r="D32" i="9"/>
  <c r="D35"/>
  <c r="K16" i="8"/>
  <c r="K23" i="1"/>
  <c r="K24"/>
  <c r="K25"/>
  <c r="K26"/>
  <c r="K27"/>
  <c r="K28"/>
  <c r="K29"/>
  <c r="K22"/>
  <c r="E23" i="11"/>
  <c r="E24"/>
  <c r="E25"/>
  <c r="E22"/>
  <c r="C19" i="9"/>
  <c r="E24"/>
  <c r="D14" i="10" s="1"/>
  <c r="V95" i="12" l="1"/>
  <c r="R19" i="10"/>
  <c r="R18"/>
  <c r="R17"/>
  <c r="J19"/>
  <c r="J18"/>
  <c r="J17"/>
  <c r="J16"/>
  <c r="R16" s="1"/>
  <c r="H19"/>
  <c r="H18"/>
  <c r="H17"/>
  <c r="H16"/>
  <c r="E19" i="9"/>
  <c r="E11" i="10"/>
  <c r="I26" i="2" l="1"/>
  <c r="I27"/>
  <c r="I28"/>
  <c r="I29"/>
  <c r="I30"/>
  <c r="I31"/>
  <c r="I32"/>
  <c r="I33"/>
  <c r="I34"/>
  <c r="I35"/>
  <c r="I36"/>
  <c r="I25"/>
  <c r="I7" i="1"/>
  <c r="F22" i="4"/>
  <c r="E22"/>
  <c r="K9" i="8"/>
  <c r="K14" i="1"/>
  <c r="K15"/>
  <c r="K16"/>
  <c r="K17"/>
  <c r="K18"/>
  <c r="K19"/>
  <c r="K13"/>
  <c r="K26" i="2"/>
  <c r="K27"/>
  <c r="K28"/>
  <c r="K29"/>
  <c r="K30"/>
  <c r="K31"/>
  <c r="K32"/>
  <c r="K33"/>
  <c r="K34"/>
  <c r="K35"/>
  <c r="K36"/>
  <c r="K25"/>
  <c r="AL26"/>
  <c r="AL27"/>
  <c r="AL28"/>
  <c r="AL29"/>
  <c r="AL30"/>
  <c r="AL31"/>
  <c r="AL32"/>
  <c r="AL33"/>
  <c r="AL34"/>
  <c r="AL35"/>
  <c r="AL36"/>
  <c r="AL25"/>
  <c r="F24"/>
  <c r="C25" i="3"/>
  <c r="I22"/>
  <c r="N248" i="5"/>
  <c r="N249"/>
  <c r="M248"/>
  <c r="M249"/>
  <c r="L248"/>
  <c r="L249"/>
  <c r="K248"/>
  <c r="K249"/>
  <c r="J248"/>
  <c r="J249"/>
  <c r="I248"/>
  <c r="I249"/>
  <c r="H248"/>
  <c r="H249"/>
  <c r="G248"/>
  <c r="G249"/>
  <c r="F248"/>
  <c r="F249"/>
  <c r="E248"/>
  <c r="E249"/>
  <c r="D248"/>
  <c r="D249"/>
  <c r="C248"/>
  <c r="C249"/>
  <c r="N231"/>
  <c r="N251"/>
  <c r="M231"/>
  <c r="M251"/>
  <c r="L231"/>
  <c r="L251"/>
  <c r="K231"/>
  <c r="K251"/>
  <c r="J231"/>
  <c r="J251"/>
  <c r="I231"/>
  <c r="I251"/>
  <c r="H231"/>
  <c r="H251"/>
  <c r="G231"/>
  <c r="G251"/>
  <c r="F231"/>
  <c r="F251"/>
  <c r="E231"/>
  <c r="E251"/>
  <c r="D231"/>
  <c r="D251"/>
  <c r="C231"/>
  <c r="C251"/>
  <c r="T28" i="2"/>
  <c r="D76" i="5" s="1"/>
  <c r="D77" s="1"/>
  <c r="X25" i="2"/>
  <c r="X26"/>
  <c r="X27"/>
  <c r="X28"/>
  <c r="X29"/>
  <c r="X30"/>
  <c r="X31"/>
  <c r="X32"/>
  <c r="X33"/>
  <c r="X34"/>
  <c r="X35"/>
  <c r="X36"/>
  <c r="L4" i="12"/>
  <c r="E4"/>
  <c r="L2"/>
  <c r="E2"/>
  <c r="J11" i="11"/>
  <c r="H28"/>
  <c r="I28"/>
  <c r="J28"/>
  <c r="E11"/>
  <c r="H53"/>
  <c r="I53"/>
  <c r="J53"/>
  <c r="H54"/>
  <c r="I54"/>
  <c r="J54"/>
  <c r="H55"/>
  <c r="I55"/>
  <c r="J55"/>
  <c r="H56"/>
  <c r="I56"/>
  <c r="J56"/>
  <c r="H57"/>
  <c r="I57"/>
  <c r="J57"/>
  <c r="J58"/>
  <c r="J50"/>
  <c r="J51" s="1"/>
  <c r="J43"/>
  <c r="J42"/>
  <c r="J45"/>
  <c r="H61"/>
  <c r="I61"/>
  <c r="J61"/>
  <c r="J62" s="1"/>
  <c r="H64"/>
  <c r="I64"/>
  <c r="J64"/>
  <c r="H65"/>
  <c r="I65"/>
  <c r="J65"/>
  <c r="H66"/>
  <c r="I66"/>
  <c r="J66"/>
  <c r="H67"/>
  <c r="I67"/>
  <c r="J67"/>
  <c r="H68"/>
  <c r="I68"/>
  <c r="J68"/>
  <c r="H69"/>
  <c r="I69"/>
  <c r="J69"/>
  <c r="J70"/>
  <c r="E73"/>
  <c r="G72"/>
  <c r="H72"/>
  <c r="I72"/>
  <c r="J72"/>
  <c r="J75"/>
  <c r="J59"/>
  <c r="L59"/>
  <c r="L70"/>
  <c r="L75"/>
  <c r="L72"/>
  <c r="L69"/>
  <c r="L68"/>
  <c r="L67"/>
  <c r="L50"/>
  <c r="L53"/>
  <c r="L54"/>
  <c r="L55"/>
  <c r="L56"/>
  <c r="L57"/>
  <c r="L61"/>
  <c r="L64"/>
  <c r="L65"/>
  <c r="L66"/>
  <c r="J16"/>
  <c r="J17"/>
  <c r="J18"/>
  <c r="J19"/>
  <c r="J20"/>
  <c r="E37"/>
  <c r="G36"/>
  <c r="H36"/>
  <c r="I36"/>
  <c r="J36"/>
  <c r="H22"/>
  <c r="I22"/>
  <c r="J22"/>
  <c r="H23"/>
  <c r="I23"/>
  <c r="J23"/>
  <c r="H24"/>
  <c r="I24"/>
  <c r="J24"/>
  <c r="H25"/>
  <c r="I25"/>
  <c r="J25"/>
  <c r="J26"/>
  <c r="H30"/>
  <c r="I30"/>
  <c r="J30"/>
  <c r="H31"/>
  <c r="I31"/>
  <c r="J31"/>
  <c r="H32"/>
  <c r="I32"/>
  <c r="J32"/>
  <c r="H33"/>
  <c r="I33"/>
  <c r="J33"/>
  <c r="J34"/>
  <c r="J39"/>
  <c r="L20"/>
  <c r="L26"/>
  <c r="L34"/>
  <c r="L36"/>
  <c r="L39"/>
  <c r="G21" i="1"/>
  <c r="L21" s="1"/>
  <c r="G22"/>
  <c r="L22" s="1"/>
  <c r="AE25" i="2"/>
  <c r="AE26"/>
  <c r="AE27"/>
  <c r="AE28"/>
  <c r="AE29"/>
  <c r="AE30"/>
  <c r="AE31"/>
  <c r="AE32"/>
  <c r="AE33"/>
  <c r="AE34"/>
  <c r="AE35"/>
  <c r="AE36"/>
  <c r="G28" i="12"/>
  <c r="H28"/>
  <c r="F8"/>
  <c r="I28"/>
  <c r="G27"/>
  <c r="H27"/>
  <c r="I27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G36"/>
  <c r="H36"/>
  <c r="I36"/>
  <c r="G37"/>
  <c r="H37"/>
  <c r="I37"/>
  <c r="G38"/>
  <c r="H38"/>
  <c r="I38"/>
  <c r="N19" i="10"/>
  <c r="D22" i="4"/>
  <c r="A4" i="5"/>
  <c r="A5"/>
  <c r="A6"/>
  <c r="C75"/>
  <c r="C90"/>
  <c r="C95"/>
  <c r="C96"/>
  <c r="C97"/>
  <c r="C98"/>
  <c r="C92"/>
  <c r="C93"/>
  <c r="D75"/>
  <c r="D90"/>
  <c r="D95"/>
  <c r="D96"/>
  <c r="D97"/>
  <c r="D98"/>
  <c r="D92"/>
  <c r="D93"/>
  <c r="E75"/>
  <c r="E90"/>
  <c r="E95"/>
  <c r="E96"/>
  <c r="E97"/>
  <c r="E98"/>
  <c r="E92"/>
  <c r="E93"/>
  <c r="F75"/>
  <c r="F90"/>
  <c r="F95"/>
  <c r="F96"/>
  <c r="F97"/>
  <c r="F98"/>
  <c r="F92"/>
  <c r="F93"/>
  <c r="G75"/>
  <c r="G90"/>
  <c r="G95"/>
  <c r="G96"/>
  <c r="G97"/>
  <c r="G98"/>
  <c r="G92"/>
  <c r="G93"/>
  <c r="H75"/>
  <c r="H90"/>
  <c r="H95"/>
  <c r="H96"/>
  <c r="H97"/>
  <c r="H98"/>
  <c r="H92"/>
  <c r="H93"/>
  <c r="I75"/>
  <c r="I90"/>
  <c r="I95"/>
  <c r="I96"/>
  <c r="I97"/>
  <c r="I98"/>
  <c r="I92"/>
  <c r="I93"/>
  <c r="J75"/>
  <c r="J90"/>
  <c r="J95"/>
  <c r="J96"/>
  <c r="J97"/>
  <c r="J98"/>
  <c r="J92"/>
  <c r="J93"/>
  <c r="K75"/>
  <c r="K90"/>
  <c r="K95"/>
  <c r="K96"/>
  <c r="K97"/>
  <c r="K98"/>
  <c r="K92"/>
  <c r="K93"/>
  <c r="L75"/>
  <c r="L90"/>
  <c r="L95"/>
  <c r="L96"/>
  <c r="L97"/>
  <c r="L98"/>
  <c r="L92"/>
  <c r="L93"/>
  <c r="M75"/>
  <c r="M90"/>
  <c r="M95"/>
  <c r="M96"/>
  <c r="M97"/>
  <c r="M98"/>
  <c r="M92"/>
  <c r="M93"/>
  <c r="N75"/>
  <c r="N90"/>
  <c r="N95"/>
  <c r="N96"/>
  <c r="N97"/>
  <c r="N98"/>
  <c r="N92"/>
  <c r="N93"/>
  <c r="C128"/>
  <c r="C143"/>
  <c r="C148"/>
  <c r="C149"/>
  <c r="C150"/>
  <c r="C151"/>
  <c r="C145"/>
  <c r="C146"/>
  <c r="D128"/>
  <c r="D143"/>
  <c r="D148"/>
  <c r="D149"/>
  <c r="D150"/>
  <c r="D151"/>
  <c r="D145"/>
  <c r="D146"/>
  <c r="E128"/>
  <c r="E143"/>
  <c r="E148"/>
  <c r="E149"/>
  <c r="E150"/>
  <c r="E151"/>
  <c r="E145"/>
  <c r="E146"/>
  <c r="F128"/>
  <c r="F143"/>
  <c r="F148"/>
  <c r="F149"/>
  <c r="F150"/>
  <c r="F151"/>
  <c r="F145"/>
  <c r="F146"/>
  <c r="G128"/>
  <c r="G143"/>
  <c r="G148"/>
  <c r="G149"/>
  <c r="G150"/>
  <c r="G151"/>
  <c r="G145"/>
  <c r="G146"/>
  <c r="H128"/>
  <c r="H143"/>
  <c r="H148"/>
  <c r="H149"/>
  <c r="H150"/>
  <c r="H151"/>
  <c r="H145"/>
  <c r="H146"/>
  <c r="I128"/>
  <c r="I143"/>
  <c r="I148"/>
  <c r="I149"/>
  <c r="I150"/>
  <c r="I151"/>
  <c r="I145"/>
  <c r="I146"/>
  <c r="J128"/>
  <c r="J143"/>
  <c r="J148"/>
  <c r="J149"/>
  <c r="J150"/>
  <c r="J151"/>
  <c r="J145"/>
  <c r="J146"/>
  <c r="K128"/>
  <c r="K143"/>
  <c r="K148"/>
  <c r="K149"/>
  <c r="K150"/>
  <c r="K151"/>
  <c r="K145"/>
  <c r="K146"/>
  <c r="L128"/>
  <c r="L143"/>
  <c r="L148"/>
  <c r="L149"/>
  <c r="L150"/>
  <c r="L151"/>
  <c r="L145"/>
  <c r="L146"/>
  <c r="M128"/>
  <c r="M143"/>
  <c r="M148"/>
  <c r="M149"/>
  <c r="M150"/>
  <c r="M151"/>
  <c r="M145"/>
  <c r="M146"/>
  <c r="N128"/>
  <c r="N143"/>
  <c r="N148"/>
  <c r="N149"/>
  <c r="N150"/>
  <c r="N151"/>
  <c r="N145"/>
  <c r="N146"/>
  <c r="C181"/>
  <c r="C196"/>
  <c r="C201"/>
  <c r="C202"/>
  <c r="C203"/>
  <c r="C204"/>
  <c r="C198"/>
  <c r="C199"/>
  <c r="D181"/>
  <c r="D196"/>
  <c r="D201"/>
  <c r="D202"/>
  <c r="D203"/>
  <c r="D204"/>
  <c r="D198"/>
  <c r="D199"/>
  <c r="E181"/>
  <c r="E196"/>
  <c r="E201"/>
  <c r="E202"/>
  <c r="E203"/>
  <c r="E204"/>
  <c r="E198"/>
  <c r="E199"/>
  <c r="F181"/>
  <c r="F196"/>
  <c r="F201"/>
  <c r="F202"/>
  <c r="F203"/>
  <c r="F204"/>
  <c r="F198"/>
  <c r="F199"/>
  <c r="G181"/>
  <c r="G196"/>
  <c r="G201"/>
  <c r="G202"/>
  <c r="G203"/>
  <c r="G204"/>
  <c r="G198"/>
  <c r="G199"/>
  <c r="H181"/>
  <c r="H196"/>
  <c r="H201"/>
  <c r="H202"/>
  <c r="H203"/>
  <c r="H204"/>
  <c r="H198"/>
  <c r="H199"/>
  <c r="I181"/>
  <c r="I196"/>
  <c r="I201"/>
  <c r="I202"/>
  <c r="I203"/>
  <c r="I204"/>
  <c r="I198"/>
  <c r="I199"/>
  <c r="J181"/>
  <c r="J196"/>
  <c r="J201"/>
  <c r="J202"/>
  <c r="J203"/>
  <c r="J204"/>
  <c r="J198"/>
  <c r="J199"/>
  <c r="K181"/>
  <c r="K196"/>
  <c r="K201"/>
  <c r="K202"/>
  <c r="K203"/>
  <c r="K204"/>
  <c r="K198"/>
  <c r="K199"/>
  <c r="L181"/>
  <c r="L196"/>
  <c r="L201"/>
  <c r="L202"/>
  <c r="L203"/>
  <c r="L204"/>
  <c r="L198"/>
  <c r="L199"/>
  <c r="M181"/>
  <c r="M196"/>
  <c r="M201"/>
  <c r="M202"/>
  <c r="M203"/>
  <c r="M204"/>
  <c r="M198"/>
  <c r="M199"/>
  <c r="N181"/>
  <c r="N196"/>
  <c r="N201"/>
  <c r="N202"/>
  <c r="N203"/>
  <c r="N204"/>
  <c r="N198"/>
  <c r="N199"/>
  <c r="I18" i="3"/>
  <c r="D25" s="1"/>
  <c r="E25" s="1"/>
  <c r="U9" i="8" s="1"/>
  <c r="K19" s="1"/>
  <c r="F18" i="3"/>
  <c r="G18"/>
  <c r="F25"/>
  <c r="O19" i="10"/>
  <c r="N18"/>
  <c r="O18"/>
  <c r="N17"/>
  <c r="O17"/>
  <c r="G36" i="9"/>
  <c r="L36" s="1"/>
  <c r="H36"/>
  <c r="G35"/>
  <c r="L35" s="1"/>
  <c r="H35"/>
  <c r="G33"/>
  <c r="L33" s="1"/>
  <c r="H33"/>
  <c r="G32"/>
  <c r="L32" s="1"/>
  <c r="H32"/>
  <c r="D38"/>
  <c r="G38"/>
  <c r="L38" s="1"/>
  <c r="G39"/>
  <c r="L39" s="1"/>
  <c r="H39"/>
  <c r="H38"/>
  <c r="G30"/>
  <c r="L30" s="1"/>
  <c r="H30"/>
  <c r="D29"/>
  <c r="G29"/>
  <c r="L29" s="1"/>
  <c r="H29"/>
  <c r="N16" i="10"/>
  <c r="P16" s="1"/>
  <c r="O16"/>
  <c r="P17"/>
  <c r="P18"/>
  <c r="P19"/>
  <c r="A7" i="5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 s="1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G23" i="1"/>
  <c r="L23" s="1"/>
  <c r="C89" i="5"/>
  <c r="G24" i="1"/>
  <c r="L24" s="1"/>
  <c r="U9" i="12"/>
  <c r="V9"/>
  <c r="K8"/>
  <c r="G25" i="1"/>
  <c r="L25" s="1"/>
  <c r="G26"/>
  <c r="L26" s="1"/>
  <c r="G27"/>
  <c r="L27" s="1"/>
  <c r="G28"/>
  <c r="L28" s="1"/>
  <c r="G29"/>
  <c r="L29" s="1"/>
  <c r="L32" i="11"/>
  <c r="L22" i="4"/>
  <c r="L33" i="11"/>
  <c r="L31"/>
  <c r="L30"/>
  <c r="L23"/>
  <c r="L24"/>
  <c r="L25"/>
  <c r="L22"/>
  <c r="L17"/>
  <c r="L18"/>
  <c r="L19"/>
  <c r="L16"/>
  <c r="J4" i="9"/>
  <c r="J2"/>
  <c r="I4" i="8"/>
  <c r="I2"/>
  <c r="J4" i="7"/>
  <c r="J2"/>
  <c r="J2" i="6"/>
  <c r="J4"/>
  <c r="J4" i="4"/>
  <c r="J2"/>
  <c r="K4" i="3"/>
  <c r="K2"/>
  <c r="P4" i="2"/>
  <c r="P2"/>
  <c r="E43" i="11"/>
  <c r="E42"/>
  <c r="E45"/>
  <c r="L4"/>
  <c r="D4"/>
  <c r="L2"/>
  <c r="D2"/>
  <c r="O285" i="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284"/>
  <c r="G19" i="4"/>
  <c r="G22" i="3"/>
  <c r="N9" i="10"/>
  <c r="O9"/>
  <c r="E34" i="1"/>
  <c r="C24" i="9" s="1"/>
  <c r="N14" i="10"/>
  <c r="N10"/>
  <c r="N11"/>
  <c r="P11"/>
  <c r="N12"/>
  <c r="O12"/>
  <c r="D19" i="9"/>
  <c r="G19"/>
  <c r="M20" s="1"/>
  <c r="J4" i="10"/>
  <c r="J2"/>
  <c r="D4"/>
  <c r="D2"/>
  <c r="O14"/>
  <c r="O11"/>
  <c r="O10"/>
  <c r="D4" i="9"/>
  <c r="D2"/>
  <c r="G25"/>
  <c r="L25" s="1"/>
  <c r="G20"/>
  <c r="L20" s="1"/>
  <c r="D4" i="8"/>
  <c r="D2"/>
  <c r="E4" i="7"/>
  <c r="E2"/>
  <c r="E4" i="6"/>
  <c r="E2"/>
  <c r="N195" i="5"/>
  <c r="M195"/>
  <c r="L195"/>
  <c r="K195"/>
  <c r="J195"/>
  <c r="I195"/>
  <c r="H195"/>
  <c r="G195"/>
  <c r="F195"/>
  <c r="E195"/>
  <c r="D195"/>
  <c r="C195"/>
  <c r="N142"/>
  <c r="M142"/>
  <c r="L142"/>
  <c r="K142"/>
  <c r="J142"/>
  <c r="I142"/>
  <c r="H142"/>
  <c r="G142"/>
  <c r="F142"/>
  <c r="E142"/>
  <c r="D142"/>
  <c r="C142"/>
  <c r="N89"/>
  <c r="M89"/>
  <c r="L89"/>
  <c r="K89"/>
  <c r="J89"/>
  <c r="I89"/>
  <c r="H89"/>
  <c r="G89"/>
  <c r="F89"/>
  <c r="E89"/>
  <c r="D89"/>
  <c r="E4" i="4"/>
  <c r="E2"/>
  <c r="F4" i="3"/>
  <c r="F2"/>
  <c r="F4" i="2"/>
  <c r="F2"/>
  <c r="C109" i="5"/>
  <c r="S7" i="2"/>
  <c r="D109" i="5"/>
  <c r="E109"/>
  <c r="F109"/>
  <c r="G109"/>
  <c r="H109"/>
  <c r="I109"/>
  <c r="J109"/>
  <c r="K109"/>
  <c r="L109"/>
  <c r="M109"/>
  <c r="N109"/>
  <c r="C162"/>
  <c r="D162"/>
  <c r="E162"/>
  <c r="F162"/>
  <c r="G162"/>
  <c r="H162"/>
  <c r="I162"/>
  <c r="J162"/>
  <c r="K162"/>
  <c r="L162"/>
  <c r="M162"/>
  <c r="N162"/>
  <c r="C215"/>
  <c r="D215"/>
  <c r="E215"/>
  <c r="F215"/>
  <c r="G215"/>
  <c r="H215"/>
  <c r="I215"/>
  <c r="J215"/>
  <c r="K215"/>
  <c r="L215"/>
  <c r="M215"/>
  <c r="N215"/>
  <c r="M76"/>
  <c r="M77" s="1"/>
  <c r="K76"/>
  <c r="K77" s="1"/>
  <c r="E76"/>
  <c r="E77" s="1"/>
  <c r="C245"/>
  <c r="D245"/>
  <c r="E245"/>
  <c r="F245"/>
  <c r="G245"/>
  <c r="H245"/>
  <c r="I245"/>
  <c r="J245"/>
  <c r="K245"/>
  <c r="L245"/>
  <c r="M245"/>
  <c r="N245"/>
  <c r="C246"/>
  <c r="C252"/>
  <c r="D246"/>
  <c r="D252"/>
  <c r="E246"/>
  <c r="E252"/>
  <c r="F246"/>
  <c r="F252"/>
  <c r="G246"/>
  <c r="G252"/>
  <c r="H246"/>
  <c r="H252"/>
  <c r="I246"/>
  <c r="I252"/>
  <c r="J246"/>
  <c r="J252"/>
  <c r="K246"/>
  <c r="K252"/>
  <c r="L246"/>
  <c r="L252"/>
  <c r="M246"/>
  <c r="M252"/>
  <c r="N246"/>
  <c r="N252"/>
  <c r="N254"/>
  <c r="N253"/>
  <c r="M254"/>
  <c r="M253"/>
  <c r="L254"/>
  <c r="L253"/>
  <c r="K254"/>
  <c r="K253"/>
  <c r="J254"/>
  <c r="J253"/>
  <c r="I254"/>
  <c r="I253"/>
  <c r="H254"/>
  <c r="H253"/>
  <c r="G254"/>
  <c r="G253"/>
  <c r="F254"/>
  <c r="F253"/>
  <c r="E254"/>
  <c r="E253"/>
  <c r="D254"/>
  <c r="D253"/>
  <c r="C254"/>
  <c r="C253"/>
  <c r="P24" i="2"/>
  <c r="Z23" s="1"/>
  <c r="D34" i="1" l="1"/>
  <c r="G21" i="7"/>
  <c r="G30" i="1"/>
  <c r="G34" s="1"/>
  <c r="H25" i="9"/>
  <c r="H20"/>
  <c r="H19"/>
  <c r="G25" i="3"/>
  <c r="H20" i="8" s="1"/>
  <c r="G76" i="5"/>
  <c r="G77" s="1"/>
  <c r="G79" s="1"/>
  <c r="C76"/>
  <c r="C77" s="1"/>
  <c r="I76"/>
  <c r="I77" s="1"/>
  <c r="I78" s="1"/>
  <c r="F76"/>
  <c r="F77" s="1"/>
  <c r="F79" s="1"/>
  <c r="J76"/>
  <c r="J77" s="1"/>
  <c r="J79" s="1"/>
  <c r="N76"/>
  <c r="N77" s="1"/>
  <c r="N78" s="1"/>
  <c r="H76"/>
  <c r="H77" s="1"/>
  <c r="L76"/>
  <c r="L77" s="1"/>
  <c r="L78" s="1"/>
  <c r="C79"/>
  <c r="C78"/>
  <c r="K78"/>
  <c r="K79"/>
  <c r="G78"/>
  <c r="E78"/>
  <c r="E79"/>
  <c r="D78"/>
  <c r="D79"/>
  <c r="I79"/>
  <c r="M78"/>
  <c r="M79"/>
  <c r="M129"/>
  <c r="M130" s="1"/>
  <c r="I129"/>
  <c r="I130" s="1"/>
  <c r="E129"/>
  <c r="E130" s="1"/>
  <c r="N129"/>
  <c r="N130" s="1"/>
  <c r="J129"/>
  <c r="J130" s="1"/>
  <c r="F129"/>
  <c r="F130" s="1"/>
  <c r="K129"/>
  <c r="K130" s="1"/>
  <c r="L129"/>
  <c r="L130" s="1"/>
  <c r="G129"/>
  <c r="G130" s="1"/>
  <c r="H129"/>
  <c r="H130" s="1"/>
  <c r="C129"/>
  <c r="C130" s="1"/>
  <c r="D129"/>
  <c r="D130" s="1"/>
  <c r="P28" i="2"/>
  <c r="AG23" s="1"/>
  <c r="M182" i="5" s="1"/>
  <c r="T24" i="2"/>
  <c r="AN23" s="1"/>
  <c r="C186" i="5"/>
  <c r="C80"/>
  <c r="C236"/>
  <c r="C133"/>
  <c r="L51" i="11"/>
  <c r="L62"/>
  <c r="L12" i="1"/>
  <c r="D12" i="8"/>
  <c r="K12" s="1"/>
  <c r="D12" i="10"/>
  <c r="D11"/>
  <c r="D10"/>
  <c r="D9"/>
  <c r="E16" i="9"/>
  <c r="E15"/>
  <c r="E14"/>
  <c r="G15" s="1"/>
  <c r="G19" i="7"/>
  <c r="I8" s="1"/>
  <c r="C22" i="4"/>
  <c r="I22" s="1"/>
  <c r="F22" i="3"/>
  <c r="H22" s="1"/>
  <c r="J22" s="1"/>
  <c r="H22" i="4"/>
  <c r="E9" i="9" s="1"/>
  <c r="G10" s="1"/>
  <c r="T11" i="7"/>
  <c r="N265" i="5"/>
  <c r="M19" i="9"/>
  <c r="L19"/>
  <c r="D25" i="7"/>
  <c r="C265" i="5"/>
  <c r="D265"/>
  <c r="E265"/>
  <c r="F265"/>
  <c r="G265"/>
  <c r="H265"/>
  <c r="I265"/>
  <c r="J265"/>
  <c r="K265"/>
  <c r="L265"/>
  <c r="M265"/>
  <c r="L19" i="1"/>
  <c r="L13"/>
  <c r="L18"/>
  <c r="L17"/>
  <c r="L16"/>
  <c r="L15"/>
  <c r="L14"/>
  <c r="D182" i="5"/>
  <c r="H182"/>
  <c r="C182" l="1"/>
  <c r="G182"/>
  <c r="L182"/>
  <c r="L183" s="1"/>
  <c r="K182"/>
  <c r="M22" i="4"/>
  <c r="N22" s="1"/>
  <c r="R19"/>
  <c r="N79" i="5"/>
  <c r="L79"/>
  <c r="J78"/>
  <c r="F78"/>
  <c r="H78"/>
  <c r="H79"/>
  <c r="D133"/>
  <c r="C138"/>
  <c r="C134"/>
  <c r="C81"/>
  <c r="D80"/>
  <c r="C85"/>
  <c r="J131"/>
  <c r="J132"/>
  <c r="H132"/>
  <c r="H131"/>
  <c r="I132"/>
  <c r="I131"/>
  <c r="M232"/>
  <c r="M233" s="1"/>
  <c r="I232"/>
  <c r="I233" s="1"/>
  <c r="E232"/>
  <c r="E233" s="1"/>
  <c r="N232"/>
  <c r="N233" s="1"/>
  <c r="J232"/>
  <c r="J233" s="1"/>
  <c r="F232"/>
  <c r="F233" s="1"/>
  <c r="C232"/>
  <c r="C233" s="1"/>
  <c r="G232"/>
  <c r="G233" s="1"/>
  <c r="D232"/>
  <c r="D233" s="1"/>
  <c r="H232"/>
  <c r="H233" s="1"/>
  <c r="K232"/>
  <c r="K233" s="1"/>
  <c r="L232"/>
  <c r="L233" s="1"/>
  <c r="C132"/>
  <c r="C131"/>
  <c r="K131"/>
  <c r="K132"/>
  <c r="E132"/>
  <c r="E131"/>
  <c r="F182"/>
  <c r="F183" s="1"/>
  <c r="J182"/>
  <c r="J183" s="1"/>
  <c r="N182"/>
  <c r="G132"/>
  <c r="G131"/>
  <c r="M132"/>
  <c r="M131"/>
  <c r="F131"/>
  <c r="F132"/>
  <c r="D236"/>
  <c r="C237"/>
  <c r="C187"/>
  <c r="D186"/>
  <c r="D132"/>
  <c r="D131"/>
  <c r="L132"/>
  <c r="L131"/>
  <c r="N131"/>
  <c r="N132"/>
  <c r="E182"/>
  <c r="I182"/>
  <c r="I183" s="1"/>
  <c r="I19" i="4"/>
  <c r="I12" s="1"/>
  <c r="L30" i="1"/>
  <c r="D14" i="8"/>
  <c r="H16" s="1"/>
  <c r="K11" s="1"/>
  <c r="D24" i="9"/>
  <c r="J22" i="4"/>
  <c r="H15" i="9"/>
  <c r="H11" i="10"/>
  <c r="J11"/>
  <c r="R11" s="1"/>
  <c r="L10" i="9"/>
  <c r="H10"/>
  <c r="E183" i="5"/>
  <c r="G183"/>
  <c r="H183"/>
  <c r="K183"/>
  <c r="M183"/>
  <c r="N183"/>
  <c r="C183"/>
  <c r="C191"/>
  <c r="D183"/>
  <c r="H34" i="1" l="1"/>
  <c r="K34" s="1"/>
  <c r="C241" i="5"/>
  <c r="C244" s="1"/>
  <c r="C259" s="1"/>
  <c r="C260" s="1"/>
  <c r="C261" s="1"/>
  <c r="C262" s="1"/>
  <c r="I13" i="4"/>
  <c r="E186" i="5"/>
  <c r="D187"/>
  <c r="D237"/>
  <c r="D241"/>
  <c r="E236"/>
  <c r="L235"/>
  <c r="L234"/>
  <c r="G235"/>
  <c r="G234"/>
  <c r="C84"/>
  <c r="C99" s="1"/>
  <c r="C100" s="1"/>
  <c r="C101" s="1"/>
  <c r="C102" s="1"/>
  <c r="C83"/>
  <c r="C82"/>
  <c r="C117" s="1"/>
  <c r="C242"/>
  <c r="D235"/>
  <c r="D234"/>
  <c r="M234"/>
  <c r="M235"/>
  <c r="E80"/>
  <c r="D81"/>
  <c r="D85"/>
  <c r="D134"/>
  <c r="E133"/>
  <c r="D138"/>
  <c r="C238"/>
  <c r="C239"/>
  <c r="C240"/>
  <c r="C255" s="1"/>
  <c r="C256" s="1"/>
  <c r="C257" s="1"/>
  <c r="C258" s="1"/>
  <c r="H234"/>
  <c r="H235"/>
  <c r="F234"/>
  <c r="F235"/>
  <c r="I235"/>
  <c r="I234"/>
  <c r="C86"/>
  <c r="C88"/>
  <c r="C103" s="1"/>
  <c r="C104" s="1"/>
  <c r="C105" s="1"/>
  <c r="C106" s="1"/>
  <c r="C87"/>
  <c r="C141"/>
  <c r="C156" s="1"/>
  <c r="C157" s="1"/>
  <c r="C158" s="1"/>
  <c r="C159" s="1"/>
  <c r="C139"/>
  <c r="C140"/>
  <c r="D191"/>
  <c r="D193" s="1"/>
  <c r="N235"/>
  <c r="N234"/>
  <c r="J234"/>
  <c r="J235"/>
  <c r="C190"/>
  <c r="C205" s="1"/>
  <c r="C206" s="1"/>
  <c r="C207" s="1"/>
  <c r="C208" s="1"/>
  <c r="C189"/>
  <c r="C188"/>
  <c r="K234"/>
  <c r="K235"/>
  <c r="C234"/>
  <c r="C235"/>
  <c r="E235"/>
  <c r="E234"/>
  <c r="C136"/>
  <c r="C135"/>
  <c r="C170" s="1"/>
  <c r="C137"/>
  <c r="C152" s="1"/>
  <c r="C153" s="1"/>
  <c r="C154" s="1"/>
  <c r="C155" s="1"/>
  <c r="K10" i="8"/>
  <c r="E14" i="10"/>
  <c r="G24" i="9"/>
  <c r="D194" i="5"/>
  <c r="D209" s="1"/>
  <c r="D210" s="1"/>
  <c r="D211" s="1"/>
  <c r="D212" s="1"/>
  <c r="D185"/>
  <c r="D184"/>
  <c r="C193"/>
  <c r="C194"/>
  <c r="C209" s="1"/>
  <c r="C210" s="1"/>
  <c r="C211" s="1"/>
  <c r="C212" s="1"/>
  <c r="C192"/>
  <c r="C185"/>
  <c r="C223" s="1"/>
  <c r="C184"/>
  <c r="N185"/>
  <c r="N184"/>
  <c r="M185"/>
  <c r="M184"/>
  <c r="L185"/>
  <c r="L184"/>
  <c r="K185"/>
  <c r="K184"/>
  <c r="J185"/>
  <c r="J184"/>
  <c r="I185"/>
  <c r="I184"/>
  <c r="H185"/>
  <c r="H184"/>
  <c r="G185"/>
  <c r="G184"/>
  <c r="F185"/>
  <c r="F184"/>
  <c r="E185"/>
  <c r="E184"/>
  <c r="F26" i="2" l="1"/>
  <c r="F27"/>
  <c r="J29" i="12" s="1"/>
  <c r="V29" s="1"/>
  <c r="F29" i="2"/>
  <c r="J31" i="12" s="1"/>
  <c r="F32" i="2"/>
  <c r="J34" i="12" s="1"/>
  <c r="F25" i="2"/>
  <c r="U9" i="6" s="1"/>
  <c r="F35" i="2"/>
  <c r="Y35" s="1"/>
  <c r="AM26"/>
  <c r="F33"/>
  <c r="J35" i="12" s="1"/>
  <c r="F36" i="2"/>
  <c r="Y36" s="1"/>
  <c r="F30"/>
  <c r="J32" i="12" s="1"/>
  <c r="V32" s="1"/>
  <c r="AF26" i="2"/>
  <c r="U10" i="6"/>
  <c r="F34" i="2"/>
  <c r="J36" i="12" s="1"/>
  <c r="V36" s="1"/>
  <c r="F28" i="2"/>
  <c r="J30" i="12" s="1"/>
  <c r="V30" s="1"/>
  <c r="F31" i="2"/>
  <c r="J33" i="12" s="1"/>
  <c r="Y25" i="2"/>
  <c r="AF35"/>
  <c r="AB9" i="6"/>
  <c r="AF25" i="2"/>
  <c r="AM25"/>
  <c r="J27" i="12"/>
  <c r="V27" s="1"/>
  <c r="C171" i="5"/>
  <c r="C172" s="1"/>
  <c r="C173" s="1"/>
  <c r="C174" s="1"/>
  <c r="C160"/>
  <c r="C161" s="1"/>
  <c r="C163" s="1"/>
  <c r="C243"/>
  <c r="C213"/>
  <c r="C214" s="1"/>
  <c r="C216" s="1"/>
  <c r="C273"/>
  <c r="C274" s="1"/>
  <c r="C275" s="1"/>
  <c r="C276" s="1"/>
  <c r="C277" s="1"/>
  <c r="C107"/>
  <c r="C108" s="1"/>
  <c r="C110" s="1"/>
  <c r="C164"/>
  <c r="C165"/>
  <c r="F236"/>
  <c r="E237"/>
  <c r="E241"/>
  <c r="C217"/>
  <c r="C218"/>
  <c r="D86"/>
  <c r="D88"/>
  <c r="D103" s="1"/>
  <c r="D104" s="1"/>
  <c r="D105" s="1"/>
  <c r="D106" s="1"/>
  <c r="D87"/>
  <c r="C111"/>
  <c r="C112"/>
  <c r="D189"/>
  <c r="D219" s="1"/>
  <c r="D188"/>
  <c r="D223" s="1"/>
  <c r="D190"/>
  <c r="D205" s="1"/>
  <c r="D206" s="1"/>
  <c r="D207" s="1"/>
  <c r="D208" s="1"/>
  <c r="D137"/>
  <c r="D152" s="1"/>
  <c r="D153" s="1"/>
  <c r="D154" s="1"/>
  <c r="D155" s="1"/>
  <c r="D136"/>
  <c r="D166" s="1"/>
  <c r="D135"/>
  <c r="D170" s="1"/>
  <c r="D238"/>
  <c r="D273" s="1"/>
  <c r="D274" s="1"/>
  <c r="D275" s="1"/>
  <c r="D276" s="1"/>
  <c r="D277" s="1"/>
  <c r="D239"/>
  <c r="D240"/>
  <c r="D255" s="1"/>
  <c r="D256" s="1"/>
  <c r="D257" s="1"/>
  <c r="D258" s="1"/>
  <c r="D263" s="1"/>
  <c r="D264" s="1"/>
  <c r="D266" s="1"/>
  <c r="C166"/>
  <c r="C167" s="1"/>
  <c r="C219"/>
  <c r="C269"/>
  <c r="C113"/>
  <c r="C114" s="1"/>
  <c r="D141"/>
  <c r="D156" s="1"/>
  <c r="D157" s="1"/>
  <c r="D158" s="1"/>
  <c r="D159" s="1"/>
  <c r="D139"/>
  <c r="D140"/>
  <c r="D83"/>
  <c r="D113" s="1"/>
  <c r="D82"/>
  <c r="D117" s="1"/>
  <c r="D84"/>
  <c r="D99" s="1"/>
  <c r="D100" s="1"/>
  <c r="D101" s="1"/>
  <c r="D102" s="1"/>
  <c r="E187"/>
  <c r="F186"/>
  <c r="E191"/>
  <c r="F133"/>
  <c r="E134"/>
  <c r="E138"/>
  <c r="E81"/>
  <c r="E85"/>
  <c r="F80"/>
  <c r="D242"/>
  <c r="D244"/>
  <c r="D259" s="1"/>
  <c r="D260" s="1"/>
  <c r="D261" s="1"/>
  <c r="D262" s="1"/>
  <c r="D243"/>
  <c r="D192"/>
  <c r="C263"/>
  <c r="C264" s="1"/>
  <c r="C266" s="1"/>
  <c r="C118"/>
  <c r="C119" s="1"/>
  <c r="C120" s="1"/>
  <c r="C121" s="1"/>
  <c r="AM32" i="2"/>
  <c r="AF27"/>
  <c r="AF33"/>
  <c r="AM33"/>
  <c r="AM30"/>
  <c r="U17" i="6"/>
  <c r="Y33" i="2"/>
  <c r="AM29"/>
  <c r="U13" i="6"/>
  <c r="Y34" i="2"/>
  <c r="Y32"/>
  <c r="Y31"/>
  <c r="Y29"/>
  <c r="U12" i="6"/>
  <c r="U16"/>
  <c r="AF32" i="2"/>
  <c r="AF31"/>
  <c r="AF29"/>
  <c r="U11" i="6"/>
  <c r="U15"/>
  <c r="L24" i="9"/>
  <c r="H24"/>
  <c r="H14" i="10"/>
  <c r="J14"/>
  <c r="R14" s="1"/>
  <c r="P14"/>
  <c r="V35" i="12"/>
  <c r="V34"/>
  <c r="V33"/>
  <c r="V31"/>
  <c r="C224" i="5"/>
  <c r="C225" s="1"/>
  <c r="C226" s="1"/>
  <c r="C227" s="1"/>
  <c r="C220"/>
  <c r="C221" s="1"/>
  <c r="C229" s="1"/>
  <c r="J28" i="12" l="1"/>
  <c r="V28" s="1"/>
  <c r="Y26" i="2"/>
  <c r="AF28"/>
  <c r="Y27"/>
  <c r="Y28"/>
  <c r="Y30"/>
  <c r="J37" i="12"/>
  <c r="V37" s="1"/>
  <c r="U19" i="6"/>
  <c r="AM27" i="2"/>
  <c r="AM28"/>
  <c r="AF30"/>
  <c r="U14" i="6"/>
  <c r="AM35" i="2"/>
  <c r="AF34"/>
  <c r="AM34"/>
  <c r="AM31"/>
  <c r="U18" i="6"/>
  <c r="J38" i="12"/>
  <c r="V38" s="1"/>
  <c r="K12" s="1"/>
  <c r="U20" i="6"/>
  <c r="AF36" i="2"/>
  <c r="AM36"/>
  <c r="D220" i="5"/>
  <c r="C270"/>
  <c r="D224"/>
  <c r="D225" s="1"/>
  <c r="D226" s="1"/>
  <c r="D227" s="1"/>
  <c r="E141"/>
  <c r="E156" s="1"/>
  <c r="E157" s="1"/>
  <c r="E158" s="1"/>
  <c r="E159" s="1"/>
  <c r="E139"/>
  <c r="E140"/>
  <c r="G186"/>
  <c r="F187"/>
  <c r="F191"/>
  <c r="E242"/>
  <c r="E244"/>
  <c r="E259" s="1"/>
  <c r="E260" s="1"/>
  <c r="E261" s="1"/>
  <c r="E262" s="1"/>
  <c r="E243"/>
  <c r="E82"/>
  <c r="E117" s="1"/>
  <c r="E84"/>
  <c r="E99" s="1"/>
  <c r="E100" s="1"/>
  <c r="E101" s="1"/>
  <c r="E102" s="1"/>
  <c r="E83"/>
  <c r="E113" s="1"/>
  <c r="E194"/>
  <c r="E209" s="1"/>
  <c r="E210" s="1"/>
  <c r="E211" s="1"/>
  <c r="E212" s="1"/>
  <c r="E193"/>
  <c r="E192"/>
  <c r="E86"/>
  <c r="E88"/>
  <c r="E103" s="1"/>
  <c r="E104" s="1"/>
  <c r="E105" s="1"/>
  <c r="E106" s="1"/>
  <c r="E87"/>
  <c r="G133"/>
  <c r="F134"/>
  <c r="F138"/>
  <c r="F241"/>
  <c r="G236"/>
  <c r="F237"/>
  <c r="D118"/>
  <c r="D119" s="1"/>
  <c r="D120" s="1"/>
  <c r="D121" s="1"/>
  <c r="D114"/>
  <c r="D107"/>
  <c r="D108" s="1"/>
  <c r="D110" s="1"/>
  <c r="D213"/>
  <c r="D214" s="1"/>
  <c r="D216" s="1"/>
  <c r="D267"/>
  <c r="D268"/>
  <c r="C267"/>
  <c r="C268"/>
  <c r="C271" s="1"/>
  <c r="C279" s="1"/>
  <c r="F85"/>
  <c r="G80"/>
  <c r="F81"/>
  <c r="E136"/>
  <c r="E135"/>
  <c r="E170" s="1"/>
  <c r="E137"/>
  <c r="E152" s="1"/>
  <c r="E153" s="1"/>
  <c r="E154" s="1"/>
  <c r="E155" s="1"/>
  <c r="E188"/>
  <c r="E223" s="1"/>
  <c r="E190"/>
  <c r="E205" s="1"/>
  <c r="E206" s="1"/>
  <c r="E207" s="1"/>
  <c r="E208" s="1"/>
  <c r="E189"/>
  <c r="E240"/>
  <c r="E255" s="1"/>
  <c r="E256" s="1"/>
  <c r="E257" s="1"/>
  <c r="E258" s="1"/>
  <c r="E238"/>
  <c r="E273" s="1"/>
  <c r="E239"/>
  <c r="D171"/>
  <c r="D172" s="1"/>
  <c r="D173" s="1"/>
  <c r="D174" s="1"/>
  <c r="C168"/>
  <c r="C176" s="1"/>
  <c r="D167"/>
  <c r="D269"/>
  <c r="D270" s="1"/>
  <c r="D160"/>
  <c r="D161" s="1"/>
  <c r="D163" s="1"/>
  <c r="C115"/>
  <c r="C123" s="1"/>
  <c r="AG25" i="2"/>
  <c r="AI25" s="1"/>
  <c r="E219" i="5" l="1"/>
  <c r="E171"/>
  <c r="E172" s="1"/>
  <c r="E173" s="1"/>
  <c r="E174" s="1"/>
  <c r="E263"/>
  <c r="E264" s="1"/>
  <c r="E266" s="1"/>
  <c r="E268" s="1"/>
  <c r="D271"/>
  <c r="D279" s="1"/>
  <c r="AN26" i="2" s="1"/>
  <c r="F88" i="5"/>
  <c r="F103" s="1"/>
  <c r="F104" s="1"/>
  <c r="F105" s="1"/>
  <c r="F106" s="1"/>
  <c r="F87"/>
  <c r="F86"/>
  <c r="H186"/>
  <c r="G187"/>
  <c r="G191"/>
  <c r="H80"/>
  <c r="G81"/>
  <c r="G85"/>
  <c r="Z25" i="2"/>
  <c r="F84" i="5"/>
  <c r="F99" s="1"/>
  <c r="F100" s="1"/>
  <c r="F101" s="1"/>
  <c r="F102" s="1"/>
  <c r="F83"/>
  <c r="F82"/>
  <c r="F117" s="1"/>
  <c r="D112"/>
  <c r="D115" s="1"/>
  <c r="D123" s="1"/>
  <c r="G26" i="2" s="1"/>
  <c r="D111" i="5"/>
  <c r="F243"/>
  <c r="F244"/>
  <c r="F259" s="1"/>
  <c r="F260" s="1"/>
  <c r="F261" s="1"/>
  <c r="F262" s="1"/>
  <c r="F242"/>
  <c r="F192"/>
  <c r="F193"/>
  <c r="F194"/>
  <c r="F209" s="1"/>
  <c r="F210" s="1"/>
  <c r="F211" s="1"/>
  <c r="F212" s="1"/>
  <c r="E160"/>
  <c r="E161" s="1"/>
  <c r="E163" s="1"/>
  <c r="E274"/>
  <c r="E275" s="1"/>
  <c r="E276" s="1"/>
  <c r="E277" s="1"/>
  <c r="E224"/>
  <c r="E225" s="1"/>
  <c r="E226" s="1"/>
  <c r="E227" s="1"/>
  <c r="E114"/>
  <c r="E220"/>
  <c r="E118"/>
  <c r="E119" s="1"/>
  <c r="E120" s="1"/>
  <c r="E121" s="1"/>
  <c r="D164"/>
  <c r="D165"/>
  <c r="D168" s="1"/>
  <c r="D176" s="1"/>
  <c r="Z26" i="2" s="1"/>
  <c r="F238" i="5"/>
  <c r="F273" s="1"/>
  <c r="F239"/>
  <c r="F240"/>
  <c r="F255" s="1"/>
  <c r="F256" s="1"/>
  <c r="F257" s="1"/>
  <c r="F258" s="1"/>
  <c r="F136"/>
  <c r="F135"/>
  <c r="F170" s="1"/>
  <c r="F137"/>
  <c r="F152" s="1"/>
  <c r="F153" s="1"/>
  <c r="F154" s="1"/>
  <c r="F155" s="1"/>
  <c r="G25" i="2"/>
  <c r="AP26"/>
  <c r="AO26"/>
  <c r="F139" i="5"/>
  <c r="F141"/>
  <c r="F156" s="1"/>
  <c r="F157" s="1"/>
  <c r="F158" s="1"/>
  <c r="F159" s="1"/>
  <c r="F140"/>
  <c r="F190"/>
  <c r="F205" s="1"/>
  <c r="F206" s="1"/>
  <c r="F207" s="1"/>
  <c r="F208" s="1"/>
  <c r="F189"/>
  <c r="F188"/>
  <c r="F223" s="1"/>
  <c r="AN25" i="2"/>
  <c r="D218" i="5"/>
  <c r="D221" s="1"/>
  <c r="D229" s="1"/>
  <c r="D217"/>
  <c r="G237"/>
  <c r="H236"/>
  <c r="G241"/>
  <c r="G134"/>
  <c r="G138"/>
  <c r="H133"/>
  <c r="E270"/>
  <c r="E269"/>
  <c r="E213"/>
  <c r="E214" s="1"/>
  <c r="E216" s="1"/>
  <c r="E166"/>
  <c r="E167" s="1"/>
  <c r="E107"/>
  <c r="E108" s="1"/>
  <c r="E110" s="1"/>
  <c r="M28" i="12"/>
  <c r="M29"/>
  <c r="M30"/>
  <c r="M31"/>
  <c r="M32"/>
  <c r="M33"/>
  <c r="M34"/>
  <c r="M35"/>
  <c r="M36"/>
  <c r="M37"/>
  <c r="M38"/>
  <c r="M27"/>
  <c r="M12"/>
  <c r="AH25" i="2"/>
  <c r="E267" i="5" l="1"/>
  <c r="F166"/>
  <c r="F167" s="1"/>
  <c r="F274"/>
  <c r="F275" s="1"/>
  <c r="F276" s="1"/>
  <c r="F277" s="1"/>
  <c r="F213"/>
  <c r="F214" s="1"/>
  <c r="F216" s="1"/>
  <c r="F263"/>
  <c r="F264" s="1"/>
  <c r="F266" s="1"/>
  <c r="F268" s="1"/>
  <c r="F113"/>
  <c r="G140"/>
  <c r="G141"/>
  <c r="G156" s="1"/>
  <c r="G157" s="1"/>
  <c r="G158" s="1"/>
  <c r="G159" s="1"/>
  <c r="G139"/>
  <c r="G86"/>
  <c r="G88"/>
  <c r="G103" s="1"/>
  <c r="G104" s="1"/>
  <c r="G105" s="1"/>
  <c r="G106" s="1"/>
  <c r="G87"/>
  <c r="G189"/>
  <c r="G188"/>
  <c r="G223" s="1"/>
  <c r="G190"/>
  <c r="G205" s="1"/>
  <c r="G206" s="1"/>
  <c r="G207" s="1"/>
  <c r="G208" s="1"/>
  <c r="F217"/>
  <c r="F218"/>
  <c r="W95" i="12"/>
  <c r="E27" s="1"/>
  <c r="J25" i="2"/>
  <c r="L25"/>
  <c r="H25"/>
  <c r="E111" i="5"/>
  <c r="E112"/>
  <c r="E115" s="1"/>
  <c r="E123" s="1"/>
  <c r="G242"/>
  <c r="G243"/>
  <c r="G244"/>
  <c r="G259" s="1"/>
  <c r="G260" s="1"/>
  <c r="G261" s="1"/>
  <c r="G262" s="1"/>
  <c r="AG26" i="2"/>
  <c r="E164" i="5"/>
  <c r="E165"/>
  <c r="E168" s="1"/>
  <c r="E176" s="1"/>
  <c r="Z27" i="2" s="1"/>
  <c r="L26"/>
  <c r="W96" i="12"/>
  <c r="J26" i="2"/>
  <c r="H26"/>
  <c r="AB25"/>
  <c r="AA25"/>
  <c r="I80" i="5"/>
  <c r="H81"/>
  <c r="H85"/>
  <c r="F118"/>
  <c r="F119" s="1"/>
  <c r="F120" s="1"/>
  <c r="F121" s="1"/>
  <c r="F114"/>
  <c r="F219"/>
  <c r="F171"/>
  <c r="F172" s="1"/>
  <c r="F173" s="1"/>
  <c r="F174" s="1"/>
  <c r="E217"/>
  <c r="E218"/>
  <c r="E221" s="1"/>
  <c r="E229" s="1"/>
  <c r="AG27" i="2" s="1"/>
  <c r="G239" i="5"/>
  <c r="G269" s="1"/>
  <c r="G240"/>
  <c r="G255" s="1"/>
  <c r="G256" s="1"/>
  <c r="G257" s="1"/>
  <c r="G258" s="1"/>
  <c r="G238"/>
  <c r="G273" s="1"/>
  <c r="F267"/>
  <c r="I133"/>
  <c r="H134"/>
  <c r="H138"/>
  <c r="H241"/>
  <c r="I236"/>
  <c r="H237"/>
  <c r="AO25" i="2"/>
  <c r="AP25"/>
  <c r="AB26"/>
  <c r="AA26"/>
  <c r="G194" i="5"/>
  <c r="G209" s="1"/>
  <c r="G210" s="1"/>
  <c r="G211" s="1"/>
  <c r="G212" s="1"/>
  <c r="G193"/>
  <c r="G192"/>
  <c r="G135"/>
  <c r="G170" s="1"/>
  <c r="G137"/>
  <c r="G152" s="1"/>
  <c r="G153" s="1"/>
  <c r="G154" s="1"/>
  <c r="G155" s="1"/>
  <c r="G160" s="1"/>
  <c r="G161" s="1"/>
  <c r="G163" s="1"/>
  <c r="G136"/>
  <c r="G83"/>
  <c r="G82"/>
  <c r="G117" s="1"/>
  <c r="G84"/>
  <c r="G99" s="1"/>
  <c r="G100" s="1"/>
  <c r="G101" s="1"/>
  <c r="G102" s="1"/>
  <c r="G107" s="1"/>
  <c r="G108" s="1"/>
  <c r="G110" s="1"/>
  <c r="I186"/>
  <c r="H187"/>
  <c r="H191"/>
  <c r="F220"/>
  <c r="F221" s="1"/>
  <c r="F229" s="1"/>
  <c r="AG28" i="2" s="1"/>
  <c r="F224" i="5"/>
  <c r="F225" s="1"/>
  <c r="F226" s="1"/>
  <c r="F227" s="1"/>
  <c r="E271"/>
  <c r="E279" s="1"/>
  <c r="F160"/>
  <c r="F161" s="1"/>
  <c r="F163" s="1"/>
  <c r="F269"/>
  <c r="F270" s="1"/>
  <c r="F107"/>
  <c r="F108" s="1"/>
  <c r="F110" s="1"/>
  <c r="E25" i="7"/>
  <c r="G25" s="1"/>
  <c r="G22" i="4"/>
  <c r="L19" s="1"/>
  <c r="G213" i="5" l="1"/>
  <c r="G214" s="1"/>
  <c r="G216" s="1"/>
  <c r="E28" i="12"/>
  <c r="U28" s="1"/>
  <c r="X42" s="1"/>
  <c r="G111" i="5"/>
  <c r="G112"/>
  <c r="U27" i="12"/>
  <c r="F111" i="5"/>
  <c r="F112"/>
  <c r="F115" s="1"/>
  <c r="F123" s="1"/>
  <c r="G28" i="2" s="1"/>
  <c r="I187" i="5"/>
  <c r="J186"/>
  <c r="I191"/>
  <c r="I241"/>
  <c r="J236"/>
  <c r="I237"/>
  <c r="J133"/>
  <c r="I138"/>
  <c r="I134"/>
  <c r="AI27" i="2"/>
  <c r="AH27"/>
  <c r="H83" i="5"/>
  <c r="H113" s="1"/>
  <c r="H82"/>
  <c r="H117" s="1"/>
  <c r="H84"/>
  <c r="H99" s="1"/>
  <c r="H100" s="1"/>
  <c r="H101" s="1"/>
  <c r="H102" s="1"/>
  <c r="G27" i="2"/>
  <c r="X9" i="6"/>
  <c r="T9"/>
  <c r="V9" s="1"/>
  <c r="AN27" i="2"/>
  <c r="H189" i="5"/>
  <c r="H219" s="1"/>
  <c r="H188"/>
  <c r="H223" s="1"/>
  <c r="H190"/>
  <c r="H205" s="1"/>
  <c r="H206" s="1"/>
  <c r="H207" s="1"/>
  <c r="H208" s="1"/>
  <c r="H239"/>
  <c r="H240"/>
  <c r="H255" s="1"/>
  <c r="H256" s="1"/>
  <c r="H257" s="1"/>
  <c r="H258" s="1"/>
  <c r="H238"/>
  <c r="H273" s="1"/>
  <c r="H137"/>
  <c r="H152" s="1"/>
  <c r="H153" s="1"/>
  <c r="H154" s="1"/>
  <c r="H155" s="1"/>
  <c r="H136"/>
  <c r="H135"/>
  <c r="H170" s="1"/>
  <c r="H88"/>
  <c r="H103" s="1"/>
  <c r="H104" s="1"/>
  <c r="H105" s="1"/>
  <c r="H106" s="1"/>
  <c r="H87"/>
  <c r="H86"/>
  <c r="F271"/>
  <c r="F279" s="1"/>
  <c r="AN28" i="2" s="1"/>
  <c r="G113" i="5"/>
  <c r="G114" s="1"/>
  <c r="G274"/>
  <c r="G275" s="1"/>
  <c r="G276" s="1"/>
  <c r="G277" s="1"/>
  <c r="G219"/>
  <c r="G220" s="1"/>
  <c r="AH28" i="2"/>
  <c r="AI28"/>
  <c r="G164" i="5"/>
  <c r="G165"/>
  <c r="H243"/>
  <c r="H244"/>
  <c r="H259" s="1"/>
  <c r="H260" s="1"/>
  <c r="H261" s="1"/>
  <c r="H262" s="1"/>
  <c r="H242"/>
  <c r="I81"/>
  <c r="J80"/>
  <c r="I85"/>
  <c r="AB27" i="2"/>
  <c r="AA27"/>
  <c r="G217" i="5"/>
  <c r="G218"/>
  <c r="AH26" i="2"/>
  <c r="AI26"/>
  <c r="F165" i="5"/>
  <c r="F168" s="1"/>
  <c r="F176" s="1"/>
  <c r="Z28" i="2" s="1"/>
  <c r="F164" i="5"/>
  <c r="H193"/>
  <c r="H192"/>
  <c r="H194"/>
  <c r="H209" s="1"/>
  <c r="H210" s="1"/>
  <c r="H211" s="1"/>
  <c r="H212" s="1"/>
  <c r="H140"/>
  <c r="H141"/>
  <c r="H156" s="1"/>
  <c r="H157" s="1"/>
  <c r="H158" s="1"/>
  <c r="H159" s="1"/>
  <c r="H139"/>
  <c r="X10" i="6"/>
  <c r="T10"/>
  <c r="V10" s="1"/>
  <c r="G166" i="5"/>
  <c r="G167" s="1"/>
  <c r="G263"/>
  <c r="G264" s="1"/>
  <c r="G266" s="1"/>
  <c r="G118"/>
  <c r="G119" s="1"/>
  <c r="G120" s="1"/>
  <c r="G121" s="1"/>
  <c r="G171"/>
  <c r="G172" s="1"/>
  <c r="G173" s="1"/>
  <c r="G174" s="1"/>
  <c r="G270"/>
  <c r="G224"/>
  <c r="G225" s="1"/>
  <c r="G226" s="1"/>
  <c r="G227" s="1"/>
  <c r="C14" i="9"/>
  <c r="D14" s="1"/>
  <c r="R8" i="10"/>
  <c r="C9" i="9"/>
  <c r="D9" s="1"/>
  <c r="E9" i="10" s="1"/>
  <c r="H9" s="1"/>
  <c r="Q7" i="9"/>
  <c r="T9" i="7"/>
  <c r="I9" s="1"/>
  <c r="G9" i="9"/>
  <c r="G20" i="7"/>
  <c r="H166" i="5" l="1"/>
  <c r="H269"/>
  <c r="H270"/>
  <c r="AA46" i="12"/>
  <c r="Z27"/>
  <c r="X39"/>
  <c r="X45"/>
  <c r="X38"/>
  <c r="X46"/>
  <c r="X43"/>
  <c r="X40"/>
  <c r="Y27"/>
  <c r="AA41"/>
  <c r="AA39"/>
  <c r="Z9" i="6"/>
  <c r="X47" i="12"/>
  <c r="X44"/>
  <c r="AA38"/>
  <c r="AA44"/>
  <c r="AA43"/>
  <c r="Z10" i="6"/>
  <c r="AA40" i="12"/>
  <c r="AA45"/>
  <c r="AA42"/>
  <c r="X41"/>
  <c r="AA47"/>
  <c r="J85" i="5"/>
  <c r="K80"/>
  <c r="J81"/>
  <c r="I141"/>
  <c r="I156" s="1"/>
  <c r="I157" s="1"/>
  <c r="I158" s="1"/>
  <c r="I159" s="1"/>
  <c r="I139"/>
  <c r="I140"/>
  <c r="I242"/>
  <c r="I244"/>
  <c r="I259" s="1"/>
  <c r="I260" s="1"/>
  <c r="I261" s="1"/>
  <c r="I262" s="1"/>
  <c r="I243"/>
  <c r="I86"/>
  <c r="I88"/>
  <c r="I103" s="1"/>
  <c r="I104" s="1"/>
  <c r="I105" s="1"/>
  <c r="I106" s="1"/>
  <c r="I87"/>
  <c r="J241"/>
  <c r="K236"/>
  <c r="J237"/>
  <c r="I239"/>
  <c r="I240"/>
  <c r="I255" s="1"/>
  <c r="I256" s="1"/>
  <c r="I257" s="1"/>
  <c r="I258" s="1"/>
  <c r="I263" s="1"/>
  <c r="I264" s="1"/>
  <c r="I266" s="1"/>
  <c r="I238"/>
  <c r="I273" s="1"/>
  <c r="K186"/>
  <c r="J187"/>
  <c r="J191"/>
  <c r="X29" i="12"/>
  <c r="X33"/>
  <c r="X37"/>
  <c r="AA29"/>
  <c r="AA33"/>
  <c r="AA37"/>
  <c r="X35"/>
  <c r="AA27"/>
  <c r="AA35"/>
  <c r="X27"/>
  <c r="AA30"/>
  <c r="X28"/>
  <c r="X32"/>
  <c r="X36"/>
  <c r="AA28"/>
  <c r="AA32"/>
  <c r="AA36"/>
  <c r="X31"/>
  <c r="AA31"/>
  <c r="X30"/>
  <c r="X34"/>
  <c r="AA34"/>
  <c r="H263" i="5"/>
  <c r="H264" s="1"/>
  <c r="H266" s="1"/>
  <c r="H118"/>
  <c r="H119" s="1"/>
  <c r="H120" s="1"/>
  <c r="H121" s="1"/>
  <c r="H167"/>
  <c r="G221"/>
  <c r="G229" s="1"/>
  <c r="H274"/>
  <c r="H275" s="1"/>
  <c r="H276" s="1"/>
  <c r="H277" s="1"/>
  <c r="H224"/>
  <c r="H225" s="1"/>
  <c r="H226" s="1"/>
  <c r="H227" s="1"/>
  <c r="H107"/>
  <c r="H108" s="1"/>
  <c r="H110" s="1"/>
  <c r="G115"/>
  <c r="G123" s="1"/>
  <c r="J28" i="2"/>
  <c r="W98" i="12"/>
  <c r="L28" i="2"/>
  <c r="H28"/>
  <c r="G268" i="5"/>
  <c r="G271" s="1"/>
  <c r="G279" s="1"/>
  <c r="G267"/>
  <c r="AB28" i="2"/>
  <c r="AA28"/>
  <c r="AP28"/>
  <c r="AO28"/>
  <c r="I136" i="5"/>
  <c r="I135"/>
  <c r="I170" s="1"/>
  <c r="I137"/>
  <c r="I152" s="1"/>
  <c r="I153" s="1"/>
  <c r="I154" s="1"/>
  <c r="I155" s="1"/>
  <c r="I160" s="1"/>
  <c r="I161" s="1"/>
  <c r="I163" s="1"/>
  <c r="I188"/>
  <c r="I223" s="1"/>
  <c r="I224" s="1"/>
  <c r="I225" s="1"/>
  <c r="I226" s="1"/>
  <c r="I227" s="1"/>
  <c r="I190"/>
  <c r="I205" s="1"/>
  <c r="I206" s="1"/>
  <c r="I207" s="1"/>
  <c r="I208" s="1"/>
  <c r="I189"/>
  <c r="I82"/>
  <c r="I117" s="1"/>
  <c r="I118" s="1"/>
  <c r="I119" s="1"/>
  <c r="I120" s="1"/>
  <c r="I121" s="1"/>
  <c r="I84"/>
  <c r="I99" s="1"/>
  <c r="I100" s="1"/>
  <c r="I101" s="1"/>
  <c r="I102" s="1"/>
  <c r="I83"/>
  <c r="AP27" i="2"/>
  <c r="AO27"/>
  <c r="W97" i="12"/>
  <c r="E29" s="1"/>
  <c r="J27" i="2"/>
  <c r="L27"/>
  <c r="H27"/>
  <c r="K133" i="5"/>
  <c r="J134"/>
  <c r="J138"/>
  <c r="I194"/>
  <c r="I209" s="1"/>
  <c r="I210" s="1"/>
  <c r="I211" s="1"/>
  <c r="I212" s="1"/>
  <c r="I192"/>
  <c r="I193"/>
  <c r="H171"/>
  <c r="H172" s="1"/>
  <c r="H173" s="1"/>
  <c r="H174" s="1"/>
  <c r="H220"/>
  <c r="G168"/>
  <c r="G176" s="1"/>
  <c r="Z29" i="2" s="1"/>
  <c r="H114" i="5"/>
  <c r="H160"/>
  <c r="H161" s="1"/>
  <c r="H163" s="1"/>
  <c r="H213"/>
  <c r="H214" s="1"/>
  <c r="H216" s="1"/>
  <c r="L18" i="9"/>
  <c r="L23"/>
  <c r="L13"/>
  <c r="L15"/>
  <c r="L28"/>
  <c r="L8"/>
  <c r="H9"/>
  <c r="L9"/>
  <c r="E10" i="10"/>
  <c r="H10" s="1"/>
  <c r="G14" i="9"/>
  <c r="T10" i="7"/>
  <c r="I10" s="1"/>
  <c r="P9" i="10"/>
  <c r="J9"/>
  <c r="R9" s="1"/>
  <c r="E12"/>
  <c r="H12" s="1"/>
  <c r="I171" i="5" l="1"/>
  <c r="I172" s="1"/>
  <c r="I173" s="1"/>
  <c r="I174" s="1"/>
  <c r="I274"/>
  <c r="I275" s="1"/>
  <c r="I276" s="1"/>
  <c r="I277" s="1"/>
  <c r="T12" i="7"/>
  <c r="T13" s="1"/>
  <c r="I11" s="1"/>
  <c r="AB27" i="12"/>
  <c r="AC27"/>
  <c r="K134" i="5"/>
  <c r="K138"/>
  <c r="L133"/>
  <c r="I164"/>
  <c r="I165"/>
  <c r="I267"/>
  <c r="I268"/>
  <c r="J243"/>
  <c r="J244"/>
  <c r="J259" s="1"/>
  <c r="J260" s="1"/>
  <c r="J261" s="1"/>
  <c r="J262" s="1"/>
  <c r="J242"/>
  <c r="J88"/>
  <c r="J103" s="1"/>
  <c r="J104" s="1"/>
  <c r="J105" s="1"/>
  <c r="J106" s="1"/>
  <c r="J87"/>
  <c r="J86"/>
  <c r="AB29" i="2"/>
  <c r="AA29"/>
  <c r="J136" i="5"/>
  <c r="J135"/>
  <c r="J170" s="1"/>
  <c r="J137"/>
  <c r="J152" s="1"/>
  <c r="J153" s="1"/>
  <c r="J154" s="1"/>
  <c r="J155" s="1"/>
  <c r="L236"/>
  <c r="K241"/>
  <c r="K237"/>
  <c r="L80"/>
  <c r="K81"/>
  <c r="K85"/>
  <c r="J139"/>
  <c r="J140"/>
  <c r="J141"/>
  <c r="J156" s="1"/>
  <c r="J157" s="1"/>
  <c r="J158" s="1"/>
  <c r="J159" s="1"/>
  <c r="U29" i="12"/>
  <c r="H112" i="5"/>
  <c r="H115" s="1"/>
  <c r="H123" s="1"/>
  <c r="G30" i="2" s="1"/>
  <c r="H111" i="5"/>
  <c r="H267"/>
  <c r="H268"/>
  <c r="H271" s="1"/>
  <c r="H279" s="1"/>
  <c r="AN30" i="2" s="1"/>
  <c r="L186" i="5"/>
  <c r="K187"/>
  <c r="K191"/>
  <c r="J239"/>
  <c r="J240"/>
  <c r="J255" s="1"/>
  <c r="J256" s="1"/>
  <c r="J257" s="1"/>
  <c r="J258" s="1"/>
  <c r="J238"/>
  <c r="J273" s="1"/>
  <c r="J274" s="1"/>
  <c r="J275" s="1"/>
  <c r="J276" s="1"/>
  <c r="J277" s="1"/>
  <c r="J84"/>
  <c r="J99" s="1"/>
  <c r="J100" s="1"/>
  <c r="J101" s="1"/>
  <c r="J102" s="1"/>
  <c r="J107" s="1"/>
  <c r="J108" s="1"/>
  <c r="J110" s="1"/>
  <c r="J83"/>
  <c r="J82"/>
  <c r="J117" s="1"/>
  <c r="J118" s="1"/>
  <c r="J119" s="1"/>
  <c r="J120" s="1"/>
  <c r="J121" s="1"/>
  <c r="I107"/>
  <c r="I108" s="1"/>
  <c r="I110" s="1"/>
  <c r="I113"/>
  <c r="I213"/>
  <c r="I214" s="1"/>
  <c r="I216" s="1"/>
  <c r="I166"/>
  <c r="I167" s="1"/>
  <c r="H218"/>
  <c r="H221" s="1"/>
  <c r="H229" s="1"/>
  <c r="H217"/>
  <c r="AN29" i="2"/>
  <c r="X12" i="6"/>
  <c r="T12"/>
  <c r="J192" i="5"/>
  <c r="J193"/>
  <c r="J194"/>
  <c r="J209" s="1"/>
  <c r="J210" s="1"/>
  <c r="J211" s="1"/>
  <c r="J212" s="1"/>
  <c r="H164"/>
  <c r="H165"/>
  <c r="H168" s="1"/>
  <c r="H176" s="1"/>
  <c r="Z30" i="2" s="1"/>
  <c r="X11" i="6"/>
  <c r="T11"/>
  <c r="G29" i="2"/>
  <c r="AG29"/>
  <c r="J190" i="5"/>
  <c r="J205" s="1"/>
  <c r="J206" s="1"/>
  <c r="J207" s="1"/>
  <c r="J208" s="1"/>
  <c r="J189"/>
  <c r="J188"/>
  <c r="J223" s="1"/>
  <c r="I219"/>
  <c r="I220" s="1"/>
  <c r="E30" i="12"/>
  <c r="U30" s="1"/>
  <c r="I269" i="5"/>
  <c r="I270" s="1"/>
  <c r="I114"/>
  <c r="H14" i="9"/>
  <c r="L14"/>
  <c r="P10" i="10"/>
  <c r="J10"/>
  <c r="R10" s="1"/>
  <c r="P12"/>
  <c r="J12"/>
  <c r="R12" s="1"/>
  <c r="J166" i="5" l="1"/>
  <c r="J213"/>
  <c r="J214" s="1"/>
  <c r="J216" s="1"/>
  <c r="I12" i="7"/>
  <c r="AD27" i="12"/>
  <c r="AF27" s="1"/>
  <c r="AH27" s="1"/>
  <c r="AG30" i="2"/>
  <c r="V11" i="6"/>
  <c r="Z11"/>
  <c r="K189" i="5"/>
  <c r="K190"/>
  <c r="K205" s="1"/>
  <c r="K206" s="1"/>
  <c r="K207" s="1"/>
  <c r="K208" s="1"/>
  <c r="K213" s="1"/>
  <c r="K214" s="1"/>
  <c r="K216" s="1"/>
  <c r="K188"/>
  <c r="K223" s="1"/>
  <c r="K83"/>
  <c r="K113" s="1"/>
  <c r="K82"/>
  <c r="K117" s="1"/>
  <c r="K84"/>
  <c r="K99" s="1"/>
  <c r="K100" s="1"/>
  <c r="K101" s="1"/>
  <c r="K102" s="1"/>
  <c r="W99" i="12"/>
  <c r="J29" i="2"/>
  <c r="L29"/>
  <c r="H29"/>
  <c r="J111" i="5"/>
  <c r="J112"/>
  <c r="K194"/>
  <c r="K209" s="1"/>
  <c r="K210" s="1"/>
  <c r="K211" s="1"/>
  <c r="K212" s="1"/>
  <c r="K193"/>
  <c r="K192"/>
  <c r="X51" i="12"/>
  <c r="X55"/>
  <c r="Y38"/>
  <c r="AC38" s="1"/>
  <c r="AA50"/>
  <c r="AA54"/>
  <c r="Z38"/>
  <c r="AB38" s="1"/>
  <c r="X53"/>
  <c r="AA52"/>
  <c r="X50"/>
  <c r="X54"/>
  <c r="AA49"/>
  <c r="AA53"/>
  <c r="Z28"/>
  <c r="AB28" s="1"/>
  <c r="X49"/>
  <c r="X48"/>
  <c r="AA48"/>
  <c r="AA56"/>
  <c r="X52"/>
  <c r="X56"/>
  <c r="Y28"/>
  <c r="AC28" s="1"/>
  <c r="AA51"/>
  <c r="AA55"/>
  <c r="K86" i="5"/>
  <c r="K88"/>
  <c r="K103" s="1"/>
  <c r="K104" s="1"/>
  <c r="K105" s="1"/>
  <c r="K106" s="1"/>
  <c r="K87"/>
  <c r="K243"/>
  <c r="K244"/>
  <c r="K259" s="1"/>
  <c r="K260" s="1"/>
  <c r="K261" s="1"/>
  <c r="K262" s="1"/>
  <c r="K242"/>
  <c r="AB30" i="2"/>
  <c r="AA30"/>
  <c r="AP29"/>
  <c r="AO29"/>
  <c r="I217" i="5"/>
  <c r="I218"/>
  <c r="I221" s="1"/>
  <c r="I229" s="1"/>
  <c r="AP30" i="2"/>
  <c r="AO30"/>
  <c r="K239" i="5"/>
  <c r="K240"/>
  <c r="K255" s="1"/>
  <c r="K256" s="1"/>
  <c r="K257" s="1"/>
  <c r="K258" s="1"/>
  <c r="K238"/>
  <c r="K273" s="1"/>
  <c r="K140"/>
  <c r="K141"/>
  <c r="K156" s="1"/>
  <c r="K157" s="1"/>
  <c r="K158" s="1"/>
  <c r="K159" s="1"/>
  <c r="K139"/>
  <c r="I168"/>
  <c r="I176" s="1"/>
  <c r="Z31" i="2" s="1"/>
  <c r="J219" i="5"/>
  <c r="J113"/>
  <c r="J269"/>
  <c r="J270" s="1"/>
  <c r="J171"/>
  <c r="J172" s="1"/>
  <c r="J173" s="1"/>
  <c r="J174" s="1"/>
  <c r="L241"/>
  <c r="M236"/>
  <c r="L237"/>
  <c r="J217"/>
  <c r="J218"/>
  <c r="V12" i="6"/>
  <c r="Z12"/>
  <c r="I111" i="5"/>
  <c r="I112"/>
  <c r="I115" s="1"/>
  <c r="I123" s="1"/>
  <c r="K135"/>
  <c r="K170" s="1"/>
  <c r="K137"/>
  <c r="K152" s="1"/>
  <c r="K153" s="1"/>
  <c r="K154" s="1"/>
  <c r="K155" s="1"/>
  <c r="K136"/>
  <c r="X58" i="12"/>
  <c r="X62"/>
  <c r="Y48"/>
  <c r="AA57"/>
  <c r="AA61"/>
  <c r="Z39"/>
  <c r="AB39" s="1"/>
  <c r="X60"/>
  <c r="Y29"/>
  <c r="AC29" s="1"/>
  <c r="AA63"/>
  <c r="X59"/>
  <c r="Y39"/>
  <c r="AC39" s="1"/>
  <c r="AA58"/>
  <c r="Z29"/>
  <c r="AB29" s="1"/>
  <c r="X61"/>
  <c r="X57"/>
  <c r="AA60"/>
  <c r="AA64"/>
  <c r="X64"/>
  <c r="AA59"/>
  <c r="Z48"/>
  <c r="X63"/>
  <c r="AA62"/>
  <c r="AH29" i="2"/>
  <c r="AI29"/>
  <c r="M186" i="5"/>
  <c r="L187"/>
  <c r="L191"/>
  <c r="L30" i="2"/>
  <c r="W100" i="12"/>
  <c r="J30" i="2"/>
  <c r="H30"/>
  <c r="M80" i="5"/>
  <c r="L81"/>
  <c r="L85"/>
  <c r="M133"/>
  <c r="L138"/>
  <c r="L134"/>
  <c r="J114"/>
  <c r="J224"/>
  <c r="J225" s="1"/>
  <c r="J226" s="1"/>
  <c r="J227" s="1"/>
  <c r="J220"/>
  <c r="J221" s="1"/>
  <c r="J229" s="1"/>
  <c r="AG32" i="2" s="1"/>
  <c r="J263" i="5"/>
  <c r="J264" s="1"/>
  <c r="J266" s="1"/>
  <c r="J167"/>
  <c r="J160"/>
  <c r="J161" s="1"/>
  <c r="J163" s="1"/>
  <c r="I271"/>
  <c r="I279" s="1"/>
  <c r="K274" l="1"/>
  <c r="K275" s="1"/>
  <c r="K276" s="1"/>
  <c r="K277" s="1"/>
  <c r="K107"/>
  <c r="K108" s="1"/>
  <c r="K110" s="1"/>
  <c r="K160"/>
  <c r="K161" s="1"/>
  <c r="K163" s="1"/>
  <c r="K263"/>
  <c r="K264" s="1"/>
  <c r="K266" s="1"/>
  <c r="AE27" i="12"/>
  <c r="AD28"/>
  <c r="AE28" s="1"/>
  <c r="K114" i="5"/>
  <c r="E32" i="12"/>
  <c r="U32" s="1"/>
  <c r="X75" s="1"/>
  <c r="AD39"/>
  <c r="AE39" s="1"/>
  <c r="AC48"/>
  <c r="AD38"/>
  <c r="AE38" s="1"/>
  <c r="AG31" i="2"/>
  <c r="AN31"/>
  <c r="AH32"/>
  <c r="AI32"/>
  <c r="L137" i="5"/>
  <c r="L152" s="1"/>
  <c r="L153" s="1"/>
  <c r="L154" s="1"/>
  <c r="L155" s="1"/>
  <c r="L136"/>
  <c r="L135"/>
  <c r="L170" s="1"/>
  <c r="L83"/>
  <c r="L82"/>
  <c r="L117" s="1"/>
  <c r="L84"/>
  <c r="L99" s="1"/>
  <c r="L100" s="1"/>
  <c r="L101" s="1"/>
  <c r="L102" s="1"/>
  <c r="X14" i="6"/>
  <c r="T14"/>
  <c r="L189" i="5"/>
  <c r="L188"/>
  <c r="L223" s="1"/>
  <c r="L190"/>
  <c r="L205" s="1"/>
  <c r="L206" s="1"/>
  <c r="L207" s="1"/>
  <c r="L208" s="1"/>
  <c r="K164"/>
  <c r="K165"/>
  <c r="K267"/>
  <c r="K268"/>
  <c r="X13" i="6"/>
  <c r="T13"/>
  <c r="J267" i="5"/>
  <c r="J268"/>
  <c r="J271" s="1"/>
  <c r="J279" s="1"/>
  <c r="AN32" i="2" s="1"/>
  <c r="L88" i="5"/>
  <c r="L103" s="1"/>
  <c r="L104" s="1"/>
  <c r="L105" s="1"/>
  <c r="L106" s="1"/>
  <c r="L87"/>
  <c r="L86"/>
  <c r="Y65" i="12"/>
  <c r="Y31"/>
  <c r="AC31" s="1"/>
  <c r="AA74"/>
  <c r="Z65"/>
  <c r="X73"/>
  <c r="X77"/>
  <c r="AA72"/>
  <c r="Z41"/>
  <c r="AB41" s="1"/>
  <c r="Y58"/>
  <c r="AC58" s="1"/>
  <c r="AA75"/>
  <c r="X74"/>
  <c r="X72"/>
  <c r="Y41"/>
  <c r="AC41" s="1"/>
  <c r="AA73"/>
  <c r="AA77"/>
  <c r="Z31"/>
  <c r="AB31" s="1"/>
  <c r="Y50"/>
  <c r="AC50" s="1"/>
  <c r="AA76"/>
  <c r="X76"/>
  <c r="Z50"/>
  <c r="AB50" s="1"/>
  <c r="L193" i="5"/>
  <c r="L192"/>
  <c r="L194"/>
  <c r="L209" s="1"/>
  <c r="L210" s="1"/>
  <c r="L211" s="1"/>
  <c r="L212" s="1"/>
  <c r="L242"/>
  <c r="L244"/>
  <c r="L259" s="1"/>
  <c r="L260" s="1"/>
  <c r="L261" s="1"/>
  <c r="L262" s="1"/>
  <c r="L243"/>
  <c r="AH30" i="2"/>
  <c r="AI30"/>
  <c r="AB48" i="12"/>
  <c r="AD29"/>
  <c r="K166" i="5"/>
  <c r="J115"/>
  <c r="J123" s="1"/>
  <c r="G32" i="2" s="1"/>
  <c r="K118" i="5"/>
  <c r="K119" s="1"/>
  <c r="K120" s="1"/>
  <c r="K121" s="1"/>
  <c r="K219"/>
  <c r="N133"/>
  <c r="M134"/>
  <c r="M138"/>
  <c r="G31" i="2"/>
  <c r="M241" i="5"/>
  <c r="N236"/>
  <c r="M237"/>
  <c r="AB31" i="2"/>
  <c r="AA31"/>
  <c r="AF38" i="12"/>
  <c r="AH38" s="1"/>
  <c r="E31"/>
  <c r="K111" i="5"/>
  <c r="K112"/>
  <c r="K217"/>
  <c r="K218"/>
  <c r="J165"/>
  <c r="J168" s="1"/>
  <c r="J176" s="1"/>
  <c r="Z32" i="2" s="1"/>
  <c r="J164" i="5"/>
  <c r="L140"/>
  <c r="L141"/>
  <c r="L156" s="1"/>
  <c r="L157" s="1"/>
  <c r="L158" s="1"/>
  <c r="L159" s="1"/>
  <c r="L139"/>
  <c r="M81"/>
  <c r="M85"/>
  <c r="N80"/>
  <c r="M187"/>
  <c r="N186"/>
  <c r="M191"/>
  <c r="L239"/>
  <c r="L240"/>
  <c r="L255" s="1"/>
  <c r="L256" s="1"/>
  <c r="L257" s="1"/>
  <c r="L258" s="1"/>
  <c r="L263" s="1"/>
  <c r="L264" s="1"/>
  <c r="L266" s="1"/>
  <c r="L238"/>
  <c r="L273" s="1"/>
  <c r="K167"/>
  <c r="K171"/>
  <c r="K172" s="1"/>
  <c r="K173" s="1"/>
  <c r="K174" s="1"/>
  <c r="K269"/>
  <c r="K270" s="1"/>
  <c r="K220"/>
  <c r="K221" s="1"/>
  <c r="K229" s="1"/>
  <c r="AG33" i="2" s="1"/>
  <c r="K224" i="5"/>
  <c r="K225" s="1"/>
  <c r="K226" s="1"/>
  <c r="K227" s="1"/>
  <c r="L213" l="1"/>
  <c r="L214" s="1"/>
  <c r="L216" s="1"/>
  <c r="L171"/>
  <c r="L172" s="1"/>
  <c r="L173" s="1"/>
  <c r="L174" s="1"/>
  <c r="L113"/>
  <c r="L114" s="1"/>
  <c r="L274"/>
  <c r="L275" s="1"/>
  <c r="L276" s="1"/>
  <c r="L277" s="1"/>
  <c r="K168"/>
  <c r="K176" s="1"/>
  <c r="Z33" i="2" s="1"/>
  <c r="AF39" i="12"/>
  <c r="AH39" s="1"/>
  <c r="K115" i="5"/>
  <c r="K123" s="1"/>
  <c r="G33" i="2" s="1"/>
  <c r="L33" s="1"/>
  <c r="Z58" i="12"/>
  <c r="AB58" s="1"/>
  <c r="AD58" s="1"/>
  <c r="AF28"/>
  <c r="AH28" s="1"/>
  <c r="AD48"/>
  <c r="AF48" s="1"/>
  <c r="AH48" s="1"/>
  <c r="AH33" i="2"/>
  <c r="AI33"/>
  <c r="M190" i="5"/>
  <c r="M205" s="1"/>
  <c r="M206" s="1"/>
  <c r="M207" s="1"/>
  <c r="M208" s="1"/>
  <c r="M189"/>
  <c r="M188"/>
  <c r="M223" s="1"/>
  <c r="W101" i="12"/>
  <c r="J31" i="2"/>
  <c r="L31"/>
  <c r="H31"/>
  <c r="AP32"/>
  <c r="AO32"/>
  <c r="L217" i="5"/>
  <c r="L218"/>
  <c r="N134"/>
  <c r="N138"/>
  <c r="V14" i="6"/>
  <c r="Z14"/>
  <c r="M194" i="5"/>
  <c r="M209" s="1"/>
  <c r="M210" s="1"/>
  <c r="M211" s="1"/>
  <c r="M212" s="1"/>
  <c r="M192"/>
  <c r="M193"/>
  <c r="M86"/>
  <c r="M88"/>
  <c r="M103" s="1"/>
  <c r="M104" s="1"/>
  <c r="M105" s="1"/>
  <c r="M106" s="1"/>
  <c r="M87"/>
  <c r="U31" i="12"/>
  <c r="M243" i="5"/>
  <c r="M244"/>
  <c r="M259" s="1"/>
  <c r="M260" s="1"/>
  <c r="M261" s="1"/>
  <c r="M262" s="1"/>
  <c r="M242"/>
  <c r="M135"/>
  <c r="M170" s="1"/>
  <c r="M137"/>
  <c r="M152" s="1"/>
  <c r="M153" s="1"/>
  <c r="M154" s="1"/>
  <c r="M155" s="1"/>
  <c r="M136"/>
  <c r="W102" i="12"/>
  <c r="L32" i="2"/>
  <c r="J32"/>
  <c r="H32"/>
  <c r="V13" i="6"/>
  <c r="Z13"/>
  <c r="AP31" i="2"/>
  <c r="AO31"/>
  <c r="AD50" i="12"/>
  <c r="AD41"/>
  <c r="AD31"/>
  <c r="K271" i="5"/>
  <c r="K279" s="1"/>
  <c r="AN33" i="2" s="1"/>
  <c r="L219" i="5"/>
  <c r="L220" s="1"/>
  <c r="L118"/>
  <c r="L119" s="1"/>
  <c r="L120" s="1"/>
  <c r="L121" s="1"/>
  <c r="L160"/>
  <c r="L161" s="1"/>
  <c r="L163" s="1"/>
  <c r="L267"/>
  <c r="L268"/>
  <c r="AB32" i="2"/>
  <c r="AA32"/>
  <c r="M238" i="5"/>
  <c r="M273" s="1"/>
  <c r="M274" s="1"/>
  <c r="M275" s="1"/>
  <c r="M276" s="1"/>
  <c r="M277" s="1"/>
  <c r="M239"/>
  <c r="M240"/>
  <c r="M255" s="1"/>
  <c r="M256" s="1"/>
  <c r="M257" s="1"/>
  <c r="M258" s="1"/>
  <c r="AB33" i="2"/>
  <c r="AA33"/>
  <c r="AI31"/>
  <c r="AH31"/>
  <c r="N187" i="5"/>
  <c r="N191"/>
  <c r="M83"/>
  <c r="M82"/>
  <c r="M117" s="1"/>
  <c r="M84"/>
  <c r="M99" s="1"/>
  <c r="M100" s="1"/>
  <c r="M101" s="1"/>
  <c r="M102" s="1"/>
  <c r="AF29" i="12"/>
  <c r="AH29" s="1"/>
  <c r="AE29"/>
  <c r="N85" i="5"/>
  <c r="N81"/>
  <c r="N241"/>
  <c r="N237"/>
  <c r="M141"/>
  <c r="M156" s="1"/>
  <c r="M157" s="1"/>
  <c r="M158" s="1"/>
  <c r="M159" s="1"/>
  <c r="M139"/>
  <c r="M140"/>
  <c r="L269"/>
  <c r="L270" s="1"/>
  <c r="L224"/>
  <c r="L225" s="1"/>
  <c r="L226" s="1"/>
  <c r="L227" s="1"/>
  <c r="L107"/>
  <c r="L108" s="1"/>
  <c r="L110" s="1"/>
  <c r="L166"/>
  <c r="L167" s="1"/>
  <c r="S26" i="2" l="1"/>
  <c r="T26" s="1"/>
  <c r="M118" i="5"/>
  <c r="M119" s="1"/>
  <c r="M120" s="1"/>
  <c r="M121" s="1"/>
  <c r="M213"/>
  <c r="M214" s="1"/>
  <c r="M216" s="1"/>
  <c r="M171"/>
  <c r="M172" s="1"/>
  <c r="M173" s="1"/>
  <c r="M174" s="1"/>
  <c r="E34" i="12"/>
  <c r="U34" s="1"/>
  <c r="AA83" s="1"/>
  <c r="H33" i="2"/>
  <c r="W103" i="12"/>
  <c r="E35" s="1"/>
  <c r="U35" s="1"/>
  <c r="J33" i="2"/>
  <c r="AE48" i="12"/>
  <c r="E33"/>
  <c r="U33" s="1"/>
  <c r="Y59" s="1"/>
  <c r="AC59" s="1"/>
  <c r="N88" i="5"/>
  <c r="N103" s="1"/>
  <c r="N104" s="1"/>
  <c r="N105" s="1"/>
  <c r="N106" s="1"/>
  <c r="N87"/>
  <c r="N86"/>
  <c r="L164"/>
  <c r="L165"/>
  <c r="L168" s="1"/>
  <c r="L176" s="1"/>
  <c r="Z34" i="2" s="1"/>
  <c r="M218" i="5"/>
  <c r="M217"/>
  <c r="N188"/>
  <c r="N223" s="1"/>
  <c r="N190"/>
  <c r="N205" s="1"/>
  <c r="N206" s="1"/>
  <c r="N207" s="1"/>
  <c r="N208" s="1"/>
  <c r="N189"/>
  <c r="X16" i="6"/>
  <c r="T16"/>
  <c r="N135" i="5"/>
  <c r="N170" s="1"/>
  <c r="N171" s="1"/>
  <c r="N172" s="1"/>
  <c r="N173" s="1"/>
  <c r="N174" s="1"/>
  <c r="N137"/>
  <c r="N152" s="1"/>
  <c r="N153" s="1"/>
  <c r="N154" s="1"/>
  <c r="N155" s="1"/>
  <c r="N136"/>
  <c r="N192"/>
  <c r="N193"/>
  <c r="N194"/>
  <c r="N209" s="1"/>
  <c r="N210" s="1"/>
  <c r="N211" s="1"/>
  <c r="N212" s="1"/>
  <c r="AF31" i="12"/>
  <c r="AH31" s="1"/>
  <c r="AE31"/>
  <c r="AF50"/>
  <c r="AH50" s="1"/>
  <c r="AE50"/>
  <c r="X84"/>
  <c r="N139" i="5"/>
  <c r="N141"/>
  <c r="N156" s="1"/>
  <c r="N157" s="1"/>
  <c r="N158" s="1"/>
  <c r="N159" s="1"/>
  <c r="N140"/>
  <c r="X17" i="6"/>
  <c r="T17"/>
  <c r="M107" i="5"/>
  <c r="M108" s="1"/>
  <c r="M110" s="1"/>
  <c r="L221"/>
  <c r="L229" s="1"/>
  <c r="AG34" i="2" s="1"/>
  <c r="M219" i="5"/>
  <c r="M220" s="1"/>
  <c r="M221" s="1"/>
  <c r="M229" s="1"/>
  <c r="AG35" i="2" s="1"/>
  <c r="M269" i="5"/>
  <c r="M270" s="1"/>
  <c r="L271"/>
  <c r="L279" s="1"/>
  <c r="AN34" i="2" s="1"/>
  <c r="M166" i="5"/>
  <c r="M167" s="1"/>
  <c r="M224"/>
  <c r="M225" s="1"/>
  <c r="M226" s="1"/>
  <c r="M227" s="1"/>
  <c r="AP33" i="2"/>
  <c r="AO33"/>
  <c r="AF58" i="12"/>
  <c r="AH58" s="1"/>
  <c r="AE58"/>
  <c r="X15" i="6"/>
  <c r="T15"/>
  <c r="N82" i="5"/>
  <c r="N117" s="1"/>
  <c r="N84"/>
  <c r="N99" s="1"/>
  <c r="N100" s="1"/>
  <c r="N101" s="1"/>
  <c r="N102" s="1"/>
  <c r="N83"/>
  <c r="L111"/>
  <c r="L112"/>
  <c r="L115" s="1"/>
  <c r="L123" s="1"/>
  <c r="G34" i="2" s="1"/>
  <c r="N242" i="5"/>
  <c r="N243"/>
  <c r="N244"/>
  <c r="N259" s="1"/>
  <c r="N260" s="1"/>
  <c r="N261" s="1"/>
  <c r="N262" s="1"/>
  <c r="N240"/>
  <c r="N255" s="1"/>
  <c r="N256" s="1"/>
  <c r="N257" s="1"/>
  <c r="N258" s="1"/>
  <c r="N238"/>
  <c r="N273" s="1"/>
  <c r="N239"/>
  <c r="AE41" i="12"/>
  <c r="AF41"/>
  <c r="AH41" s="1"/>
  <c r="R26" i="2"/>
  <c r="X67" i="12"/>
  <c r="X71"/>
  <c r="Y40"/>
  <c r="AC40" s="1"/>
  <c r="AA66"/>
  <c r="AA70"/>
  <c r="Z30"/>
  <c r="AB30" s="1"/>
  <c r="AA68"/>
  <c r="Y30"/>
  <c r="AC30" s="1"/>
  <c r="AA71"/>
  <c r="X66"/>
  <c r="X70"/>
  <c r="Y49"/>
  <c r="AC49" s="1"/>
  <c r="AA65"/>
  <c r="AB65" s="1"/>
  <c r="AA69"/>
  <c r="Z40"/>
  <c r="AB40" s="1"/>
  <c r="X69"/>
  <c r="Y57"/>
  <c r="AC57" s="1"/>
  <c r="Z49"/>
  <c r="AB49" s="1"/>
  <c r="X68"/>
  <c r="X65"/>
  <c r="AA67"/>
  <c r="Z57"/>
  <c r="AB57" s="1"/>
  <c r="M160" i="5"/>
  <c r="M161" s="1"/>
  <c r="M163" s="1"/>
  <c r="M113"/>
  <c r="M114" s="1"/>
  <c r="M263"/>
  <c r="M264" s="1"/>
  <c r="M266" s="1"/>
  <c r="N213" l="1"/>
  <c r="N214" s="1"/>
  <c r="N216" s="1"/>
  <c r="N218" s="1"/>
  <c r="N118"/>
  <c r="N119" s="1"/>
  <c r="N120" s="1"/>
  <c r="N121" s="1"/>
  <c r="N274"/>
  <c r="N275" s="1"/>
  <c r="N276" s="1"/>
  <c r="N277" s="1"/>
  <c r="N107"/>
  <c r="N108" s="1"/>
  <c r="N110" s="1"/>
  <c r="X86" i="12"/>
  <c r="Z73"/>
  <c r="AB73" s="1"/>
  <c r="Z78"/>
  <c r="AA84"/>
  <c r="X83"/>
  <c r="Z33"/>
  <c r="AB33" s="1"/>
  <c r="Y60"/>
  <c r="AC60" s="1"/>
  <c r="Y78"/>
  <c r="Z60"/>
  <c r="AB60" s="1"/>
  <c r="AA86"/>
  <c r="Y43"/>
  <c r="AC43" s="1"/>
  <c r="Y67"/>
  <c r="Y52"/>
  <c r="AC52" s="1"/>
  <c r="Y33"/>
  <c r="AC33" s="1"/>
  <c r="X85"/>
  <c r="Z43"/>
  <c r="AB43" s="1"/>
  <c r="Y73"/>
  <c r="AC73" s="1"/>
  <c r="Z52"/>
  <c r="AB52" s="1"/>
  <c r="Z67"/>
  <c r="AB67" s="1"/>
  <c r="AA85"/>
  <c r="X81"/>
  <c r="Z59"/>
  <c r="AB59" s="1"/>
  <c r="AD59" s="1"/>
  <c r="AF59" s="1"/>
  <c r="AH59" s="1"/>
  <c r="Z32"/>
  <c r="AB32" s="1"/>
  <c r="AA81"/>
  <c r="Z66"/>
  <c r="AB66" s="1"/>
  <c r="Y44"/>
  <c r="AC44" s="1"/>
  <c r="X89"/>
  <c r="Y68"/>
  <c r="AC68" s="1"/>
  <c r="Z44"/>
  <c r="AB44" s="1"/>
  <c r="Z53"/>
  <c r="AB53" s="1"/>
  <c r="Z74"/>
  <c r="AB74" s="1"/>
  <c r="X87"/>
  <c r="Z68"/>
  <c r="AB68" s="1"/>
  <c r="Y79"/>
  <c r="Y34"/>
  <c r="AC34" s="1"/>
  <c r="AA88"/>
  <c r="X88"/>
  <c r="X79"/>
  <c r="Z72"/>
  <c r="AB72" s="1"/>
  <c r="Y66"/>
  <c r="AC66" s="1"/>
  <c r="X78"/>
  <c r="AC78" s="1"/>
  <c r="Z51"/>
  <c r="AB51" s="1"/>
  <c r="Y51"/>
  <c r="AC51" s="1"/>
  <c r="Y72"/>
  <c r="AC72" s="1"/>
  <c r="Y32"/>
  <c r="AC32" s="1"/>
  <c r="AA78"/>
  <c r="X80"/>
  <c r="X82"/>
  <c r="AD57"/>
  <c r="AF57" s="1"/>
  <c r="AH57" s="1"/>
  <c r="AA82"/>
  <c r="AA79"/>
  <c r="AA80"/>
  <c r="Z42"/>
  <c r="AB42" s="1"/>
  <c r="Y42"/>
  <c r="AC42" s="1"/>
  <c r="Z61"/>
  <c r="AB61" s="1"/>
  <c r="Y61"/>
  <c r="AC61" s="1"/>
  <c r="Y53"/>
  <c r="AC53" s="1"/>
  <c r="AA89"/>
  <c r="Z34"/>
  <c r="AB34" s="1"/>
  <c r="Y74"/>
  <c r="AC74" s="1"/>
  <c r="Z79"/>
  <c r="AA87"/>
  <c r="Z83"/>
  <c r="AB83" s="1"/>
  <c r="Y83"/>
  <c r="AI35" i="2"/>
  <c r="AH35"/>
  <c r="V15" i="6"/>
  <c r="Z15"/>
  <c r="AH34" i="2"/>
  <c r="AI34"/>
  <c r="V17" i="6"/>
  <c r="Z17"/>
  <c r="N217" i="5"/>
  <c r="AB34" i="2"/>
  <c r="AA34"/>
  <c r="L34"/>
  <c r="J34"/>
  <c r="W104" i="12"/>
  <c r="H34" i="2"/>
  <c r="AP34"/>
  <c r="AO34"/>
  <c r="AC67" i="12"/>
  <c r="N263" i="5"/>
  <c r="N264" s="1"/>
  <c r="N266" s="1"/>
  <c r="N160"/>
  <c r="N161" s="1"/>
  <c r="N163" s="1"/>
  <c r="N219"/>
  <c r="N220" s="1"/>
  <c r="M267"/>
  <c r="M268"/>
  <c r="M271" s="1"/>
  <c r="M279" s="1"/>
  <c r="AN35" i="2" s="1"/>
  <c r="M164" i="5"/>
  <c r="M165"/>
  <c r="M168" s="1"/>
  <c r="M176" s="1"/>
  <c r="Z35" i="2" s="1"/>
  <c r="N111" i="5"/>
  <c r="N112"/>
  <c r="AC65" i="12"/>
  <c r="AD65" s="1"/>
  <c r="AF65" s="1"/>
  <c r="AH65" s="1"/>
  <c r="M112" i="5"/>
  <c r="M115" s="1"/>
  <c r="M123" s="1"/>
  <c r="G35" i="2" s="1"/>
  <c r="M111" i="5"/>
  <c r="V16" i="6"/>
  <c r="Z16"/>
  <c r="AD40" i="12"/>
  <c r="N166" i="5"/>
  <c r="N167" s="1"/>
  <c r="AD49" i="12"/>
  <c r="AD30"/>
  <c r="N269" i="5"/>
  <c r="N270" s="1"/>
  <c r="N113"/>
  <c r="N114" s="1"/>
  <c r="N224"/>
  <c r="N225" s="1"/>
  <c r="N226" s="1"/>
  <c r="N227" s="1"/>
  <c r="N221" l="1"/>
  <c r="N229" s="1"/>
  <c r="O229" s="1"/>
  <c r="AD33" i="12"/>
  <c r="AF33" s="1"/>
  <c r="AH33" s="1"/>
  <c r="AB78"/>
  <c r="AD78" s="1"/>
  <c r="AF78" s="1"/>
  <c r="AH78" s="1"/>
  <c r="AC79"/>
  <c r="AC83"/>
  <c r="AD83" s="1"/>
  <c r="AF83" s="1"/>
  <c r="AH83" s="1"/>
  <c r="AD53"/>
  <c r="AE53" s="1"/>
  <c r="AD44"/>
  <c r="AF44" s="1"/>
  <c r="AH44" s="1"/>
  <c r="AD43"/>
  <c r="AF43" s="1"/>
  <c r="AH43" s="1"/>
  <c r="AD52"/>
  <c r="AF52" s="1"/>
  <c r="AH52" s="1"/>
  <c r="AD60"/>
  <c r="AE60" s="1"/>
  <c r="AD73"/>
  <c r="AE73" s="1"/>
  <c r="AD72"/>
  <c r="AE72" s="1"/>
  <c r="AD42"/>
  <c r="AF42" s="1"/>
  <c r="AH42" s="1"/>
  <c r="AD32"/>
  <c r="AD51"/>
  <c r="AE51" s="1"/>
  <c r="AE65"/>
  <c r="AE59"/>
  <c r="AD67"/>
  <c r="AF67" s="1"/>
  <c r="AH67" s="1"/>
  <c r="AB79"/>
  <c r="AD34"/>
  <c r="AE34" s="1"/>
  <c r="AD61"/>
  <c r="AE61" s="1"/>
  <c r="AE57"/>
  <c r="AD74"/>
  <c r="AF74" s="1"/>
  <c r="AH74" s="1"/>
  <c r="AD66"/>
  <c r="AF66" s="1"/>
  <c r="AH66" s="1"/>
  <c r="AG36" i="2"/>
  <c r="AF40" i="12"/>
  <c r="AH40" s="1"/>
  <c r="AE40"/>
  <c r="AP35" i="2"/>
  <c r="AO35"/>
  <c r="N164" i="5"/>
  <c r="N165"/>
  <c r="N168" s="1"/>
  <c r="N176" s="1"/>
  <c r="N267"/>
  <c r="N268"/>
  <c r="N271" s="1"/>
  <c r="N279" s="1"/>
  <c r="N115"/>
  <c r="N123" s="1"/>
  <c r="AD68" i="12"/>
  <c r="E36"/>
  <c r="AF49"/>
  <c r="AH49" s="1"/>
  <c r="AE49"/>
  <c r="W105"/>
  <c r="L35" i="2"/>
  <c r="J35"/>
  <c r="H35"/>
  <c r="AF30" i="12"/>
  <c r="AH30" s="1"/>
  <c r="AE30"/>
  <c r="AB35" i="2"/>
  <c r="AA35"/>
  <c r="X18" i="6"/>
  <c r="T18"/>
  <c r="AE33" i="12" l="1"/>
  <c r="AF60"/>
  <c r="AH60" s="1"/>
  <c r="AE44"/>
  <c r="AF73"/>
  <c r="AH73" s="1"/>
  <c r="AD79"/>
  <c r="AF79" s="1"/>
  <c r="AH79" s="1"/>
  <c r="AF53"/>
  <c r="AH53" s="1"/>
  <c r="AE52"/>
  <c r="AF72"/>
  <c r="AH72" s="1"/>
  <c r="AE43"/>
  <c r="AE83"/>
  <c r="AE42"/>
  <c r="AF34"/>
  <c r="AH34" s="1"/>
  <c r="AF32"/>
  <c r="AH32" s="1"/>
  <c r="AE32"/>
  <c r="AE78"/>
  <c r="AF51"/>
  <c r="AH51" s="1"/>
  <c r="AF61"/>
  <c r="AH61" s="1"/>
  <c r="AE66"/>
  <c r="AE67"/>
  <c r="AE74"/>
  <c r="E37"/>
  <c r="U37" s="1"/>
  <c r="Y36" s="1"/>
  <c r="AC36" s="1"/>
  <c r="AF68"/>
  <c r="AH68" s="1"/>
  <c r="AE68"/>
  <c r="Z36" i="2"/>
  <c r="O176" i="5"/>
  <c r="AH36" i="2"/>
  <c r="O30" s="1"/>
  <c r="AI36"/>
  <c r="AG37"/>
  <c r="V18" i="6"/>
  <c r="Z18"/>
  <c r="U36" i="12"/>
  <c r="X19" i="6"/>
  <c r="T19"/>
  <c r="G36" i="2"/>
  <c r="O123" i="5"/>
  <c r="AN36" i="2"/>
  <c r="O279" i="5"/>
  <c r="AE79" i="12" l="1"/>
  <c r="Z90"/>
  <c r="Y76"/>
  <c r="AC76" s="1"/>
  <c r="Y63"/>
  <c r="AC63" s="1"/>
  <c r="Z81"/>
  <c r="AB81" s="1"/>
  <c r="Z36"/>
  <c r="AB36" s="1"/>
  <c r="AD36" s="1"/>
  <c r="AA92"/>
  <c r="Y46"/>
  <c r="AC46" s="1"/>
  <c r="Y85"/>
  <c r="AC85" s="1"/>
  <c r="Z55"/>
  <c r="AB55" s="1"/>
  <c r="Y88"/>
  <c r="AC88" s="1"/>
  <c r="Z46"/>
  <c r="AB46" s="1"/>
  <c r="Z70"/>
  <c r="AB70" s="1"/>
  <c r="Z85"/>
  <c r="AB85" s="1"/>
  <c r="Z76"/>
  <c r="AB76" s="1"/>
  <c r="Y55"/>
  <c r="AC55" s="1"/>
  <c r="Y70"/>
  <c r="AC70" s="1"/>
  <c r="Y81"/>
  <c r="AC81" s="1"/>
  <c r="X92"/>
  <c r="Z63"/>
  <c r="AB63" s="1"/>
  <c r="AD63" s="1"/>
  <c r="Y90"/>
  <c r="Z88"/>
  <c r="AB88" s="1"/>
  <c r="W106"/>
  <c r="L36" i="2"/>
  <c r="J36"/>
  <c r="H36"/>
  <c r="G37"/>
  <c r="X90" i="12"/>
  <c r="Y80"/>
  <c r="AC80" s="1"/>
  <c r="Y54"/>
  <c r="AC54" s="1"/>
  <c r="Z84"/>
  <c r="AB84" s="1"/>
  <c r="Z62"/>
  <c r="AB62" s="1"/>
  <c r="Z87"/>
  <c r="AB87" s="1"/>
  <c r="Y87"/>
  <c r="AC87" s="1"/>
  <c r="Y35"/>
  <c r="AC35" s="1"/>
  <c r="Z75"/>
  <c r="AB75" s="1"/>
  <c r="Y75"/>
  <c r="AC75" s="1"/>
  <c r="Z54"/>
  <c r="AB54" s="1"/>
  <c r="X91"/>
  <c r="Y84"/>
  <c r="AC84" s="1"/>
  <c r="Y62"/>
  <c r="AC62" s="1"/>
  <c r="AA91"/>
  <c r="Z69"/>
  <c r="AB69" s="1"/>
  <c r="Z35"/>
  <c r="AB35" s="1"/>
  <c r="Y69"/>
  <c r="AC69" s="1"/>
  <c r="AA90"/>
  <c r="Z45"/>
  <c r="AB45" s="1"/>
  <c r="Y45"/>
  <c r="AC45" s="1"/>
  <c r="Z80"/>
  <c r="AB80" s="1"/>
  <c r="P30" i="2"/>
  <c r="N30"/>
  <c r="AP36"/>
  <c r="AO36"/>
  <c r="AN37"/>
  <c r="V19" i="6"/>
  <c r="Z19"/>
  <c r="AB36" i="2"/>
  <c r="AA36"/>
  <c r="O26" s="1"/>
  <c r="Z37"/>
  <c r="AD55" i="12" l="1"/>
  <c r="AF55" s="1"/>
  <c r="AH55" s="1"/>
  <c r="AD76"/>
  <c r="AF76" s="1"/>
  <c r="AH76" s="1"/>
  <c r="AD35"/>
  <c r="AF35" s="1"/>
  <c r="AH35" s="1"/>
  <c r="AB90"/>
  <c r="AD85"/>
  <c r="AF85" s="1"/>
  <c r="AH85" s="1"/>
  <c r="AD81"/>
  <c r="AE81" s="1"/>
  <c r="AD46"/>
  <c r="AE46" s="1"/>
  <c r="AD88"/>
  <c r="AF88" s="1"/>
  <c r="AH88" s="1"/>
  <c r="AE55"/>
  <c r="AD70"/>
  <c r="AD69"/>
  <c r="AE69" s="1"/>
  <c r="P26" i="2"/>
  <c r="N26"/>
  <c r="AE63" i="12"/>
  <c r="AF63"/>
  <c r="AH63" s="1"/>
  <c r="X20" i="6"/>
  <c r="X21" s="1"/>
  <c r="T20"/>
  <c r="AD45" i="12"/>
  <c r="AD62"/>
  <c r="AD75"/>
  <c r="AD80"/>
  <c r="AF36"/>
  <c r="AH36" s="1"/>
  <c r="AE36"/>
  <c r="E38"/>
  <c r="S30" i="2"/>
  <c r="AD84" i="12"/>
  <c r="AC90"/>
  <c r="AD87"/>
  <c r="AD54"/>
  <c r="AF81" l="1"/>
  <c r="AH81" s="1"/>
  <c r="AE76"/>
  <c r="AE35"/>
  <c r="AD90"/>
  <c r="AF90" s="1"/>
  <c r="AH90" s="1"/>
  <c r="AE85"/>
  <c r="AF46"/>
  <c r="AH46" s="1"/>
  <c r="AE88"/>
  <c r="AF69"/>
  <c r="AH69" s="1"/>
  <c r="AE70"/>
  <c r="AF70"/>
  <c r="AH70" s="1"/>
  <c r="T30" i="2"/>
  <c r="D18" i="3" s="1"/>
  <c r="V19" i="4"/>
  <c r="R30" i="2"/>
  <c r="S19" i="4" s="1"/>
  <c r="U19" s="1"/>
  <c r="V18" i="3"/>
  <c r="C18" s="1"/>
  <c r="AF80" i="12"/>
  <c r="AH80" s="1"/>
  <c r="AE80"/>
  <c r="AF54"/>
  <c r="AH54" s="1"/>
  <c r="AE54"/>
  <c r="AE62"/>
  <c r="AF62"/>
  <c r="AH62" s="1"/>
  <c r="AF87"/>
  <c r="AH87" s="1"/>
  <c r="AE87"/>
  <c r="AE84"/>
  <c r="AF84"/>
  <c r="AH84" s="1"/>
  <c r="U38"/>
  <c r="U8"/>
  <c r="V8" s="1"/>
  <c r="K7" s="1"/>
  <c r="AE75"/>
  <c r="AF75"/>
  <c r="AH75" s="1"/>
  <c r="AF45"/>
  <c r="AH45" s="1"/>
  <c r="AE45"/>
  <c r="V20" i="6"/>
  <c r="Z20"/>
  <c r="Z21" s="1"/>
  <c r="T21"/>
  <c r="AE90" i="12" l="1"/>
  <c r="W19" i="4"/>
  <c r="D19" s="1"/>
  <c r="F19" s="1"/>
  <c r="H19" s="1"/>
  <c r="I15" s="1"/>
  <c r="Y86" i="12"/>
  <c r="AC86" s="1"/>
  <c r="Y64"/>
  <c r="AC64" s="1"/>
  <c r="Z91"/>
  <c r="AB91" s="1"/>
  <c r="Z77"/>
  <c r="AB77" s="1"/>
  <c r="Z47"/>
  <c r="AB47" s="1"/>
  <c r="Y77"/>
  <c r="AC77" s="1"/>
  <c r="Z64"/>
  <c r="AB64" s="1"/>
  <c r="Y92"/>
  <c r="AC92" s="1"/>
  <c r="Y56"/>
  <c r="AC56" s="1"/>
  <c r="Z89"/>
  <c r="AB89" s="1"/>
  <c r="Z37"/>
  <c r="AB37" s="1"/>
  <c r="Y89"/>
  <c r="AC89" s="1"/>
  <c r="Y71"/>
  <c r="AC71" s="1"/>
  <c r="Y37"/>
  <c r="AC37" s="1"/>
  <c r="Z82"/>
  <c r="AB82" s="1"/>
  <c r="Z56"/>
  <c r="AB56" s="1"/>
  <c r="Y91"/>
  <c r="AC91" s="1"/>
  <c r="Y47"/>
  <c r="AC47" s="1"/>
  <c r="Z86"/>
  <c r="AB86" s="1"/>
  <c r="Z92"/>
  <c r="AB92" s="1"/>
  <c r="Y82"/>
  <c r="AC82" s="1"/>
  <c r="Z71"/>
  <c r="AB71" s="1"/>
  <c r="K11"/>
  <c r="AG80" s="1"/>
  <c r="H18" i="3"/>
  <c r="J18" s="1"/>
  <c r="H25"/>
  <c r="T25"/>
  <c r="V25"/>
  <c r="W25" s="1"/>
  <c r="K25" s="1"/>
  <c r="I11" i="4" l="1"/>
  <c r="AD71" i="12"/>
  <c r="AF71" s="1"/>
  <c r="AH71" s="1"/>
  <c r="AI65" s="1"/>
  <c r="AG62"/>
  <c r="AG87"/>
  <c r="AG75"/>
  <c r="AD82"/>
  <c r="AE82" s="1"/>
  <c r="AG82" s="1"/>
  <c r="AD91"/>
  <c r="AE91" s="1"/>
  <c r="AG91" s="1"/>
  <c r="AD86"/>
  <c r="AE86" s="1"/>
  <c r="AG86" s="1"/>
  <c r="AG45"/>
  <c r="AG54"/>
  <c r="AG84"/>
  <c r="AD37"/>
  <c r="AF37" s="1"/>
  <c r="AH37" s="1"/>
  <c r="AI27" s="1"/>
  <c r="AD64"/>
  <c r="AF64" s="1"/>
  <c r="AH64" s="1"/>
  <c r="AI57" s="1"/>
  <c r="AD56"/>
  <c r="AF56" s="1"/>
  <c r="AH56" s="1"/>
  <c r="AI48" s="1"/>
  <c r="K27"/>
  <c r="K28"/>
  <c r="K32"/>
  <c r="K36"/>
  <c r="K34"/>
  <c r="K29"/>
  <c r="K37"/>
  <c r="K31"/>
  <c r="K35"/>
  <c r="M11"/>
  <c r="K30"/>
  <c r="K38"/>
  <c r="K33"/>
  <c r="AG27"/>
  <c r="AG39"/>
  <c r="AG38"/>
  <c r="AG28"/>
  <c r="AG48"/>
  <c r="AG29"/>
  <c r="AG58"/>
  <c r="AG31"/>
  <c r="AG41"/>
  <c r="AG50"/>
  <c r="AG32"/>
  <c r="AG74"/>
  <c r="AG52"/>
  <c r="AG59"/>
  <c r="AG65"/>
  <c r="AG57"/>
  <c r="AG43"/>
  <c r="AG83"/>
  <c r="AG72"/>
  <c r="AG44"/>
  <c r="AG42"/>
  <c r="AG78"/>
  <c r="AG66"/>
  <c r="AG49"/>
  <c r="AG60"/>
  <c r="AG73"/>
  <c r="AG51"/>
  <c r="AG61"/>
  <c r="AG53"/>
  <c r="AG33"/>
  <c r="AG34"/>
  <c r="AG30"/>
  <c r="AG40"/>
  <c r="AG67"/>
  <c r="AG79"/>
  <c r="AG68"/>
  <c r="AG88"/>
  <c r="AG55"/>
  <c r="AG85"/>
  <c r="AG70"/>
  <c r="AG90"/>
  <c r="AG69"/>
  <c r="AG35"/>
  <c r="AG76"/>
  <c r="AG36"/>
  <c r="AG46"/>
  <c r="AG63"/>
  <c r="AG81"/>
  <c r="I11" i="3"/>
  <c r="U25"/>
  <c r="J25" s="1"/>
  <c r="I14" i="4"/>
  <c r="I25" i="3"/>
  <c r="I9"/>
  <c r="AD47" i="12"/>
  <c r="AD89"/>
  <c r="AD92"/>
  <c r="AD77"/>
  <c r="AE71" l="1"/>
  <c r="AG71" s="1"/>
  <c r="AJ65" s="1"/>
  <c r="AK65" s="1"/>
  <c r="AL65" s="1"/>
  <c r="AF82"/>
  <c r="AH82" s="1"/>
  <c r="AI78" s="1"/>
  <c r="AE64"/>
  <c r="AG64" s="1"/>
  <c r="AJ57" s="1"/>
  <c r="AK57" s="1"/>
  <c r="AL57" s="1"/>
  <c r="AF91"/>
  <c r="AH91" s="1"/>
  <c r="AI90" s="1"/>
  <c r="AF86"/>
  <c r="AH86" s="1"/>
  <c r="AI83" s="1"/>
  <c r="AE37"/>
  <c r="AG37" s="1"/>
  <c r="AJ27" s="1"/>
  <c r="AK27" s="1"/>
  <c r="AL27" s="1"/>
  <c r="AE56"/>
  <c r="AG56" s="1"/>
  <c r="AJ48" s="1"/>
  <c r="AK48" s="1"/>
  <c r="AL48" s="1"/>
  <c r="AJ78"/>
  <c r="AJ83"/>
  <c r="AE47"/>
  <c r="AG47" s="1"/>
  <c r="AJ38" s="1"/>
  <c r="AF47"/>
  <c r="AH47" s="1"/>
  <c r="AI38" s="1"/>
  <c r="AE89"/>
  <c r="AG89" s="1"/>
  <c r="AJ87" s="1"/>
  <c r="AF89"/>
  <c r="AH89" s="1"/>
  <c r="AI87" s="1"/>
  <c r="I10" i="3"/>
  <c r="I8"/>
  <c r="AF77" i="12"/>
  <c r="AH77" s="1"/>
  <c r="AI72" s="1"/>
  <c r="AE77"/>
  <c r="AG77" s="1"/>
  <c r="AJ72" s="1"/>
  <c r="AE92"/>
  <c r="AG92" s="1"/>
  <c r="AJ92" s="1"/>
  <c r="AF92"/>
  <c r="AH92" s="1"/>
  <c r="AI92" s="1"/>
  <c r="AJ90"/>
  <c r="AK78" l="1"/>
  <c r="AL78" s="1"/>
  <c r="AN78" s="1"/>
  <c r="AQ78" s="1"/>
  <c r="AK83"/>
  <c r="AL83" s="1"/>
  <c r="AM83" s="1"/>
  <c r="AK90"/>
  <c r="AL90" s="1"/>
  <c r="AN90" s="1"/>
  <c r="AQ90" s="1"/>
  <c r="AK72"/>
  <c r="AL72" s="1"/>
  <c r="AM72" s="1"/>
  <c r="AM57"/>
  <c r="AN57"/>
  <c r="AQ57" s="1"/>
  <c r="AM48"/>
  <c r="AN48"/>
  <c r="AQ48" s="1"/>
  <c r="AM65"/>
  <c r="AN65"/>
  <c r="AQ65" s="1"/>
  <c r="AK92"/>
  <c r="AL92" s="1"/>
  <c r="AM27"/>
  <c r="AN27"/>
  <c r="AQ27" s="1"/>
  <c r="AK87"/>
  <c r="AL87" s="1"/>
  <c r="AK38"/>
  <c r="AL38" s="1"/>
  <c r="AM78" l="1"/>
  <c r="AN83"/>
  <c r="AQ83" s="1"/>
  <c r="AM90"/>
  <c r="AO90" s="1"/>
  <c r="AN72"/>
  <c r="AQ72" s="1"/>
  <c r="AO65"/>
  <c r="AP65"/>
  <c r="AP48"/>
  <c r="AO48"/>
  <c r="AP57"/>
  <c r="AO57"/>
  <c r="AM87"/>
  <c r="AN87"/>
  <c r="AQ87" s="1"/>
  <c r="AM38"/>
  <c r="AN38"/>
  <c r="AQ38" s="1"/>
  <c r="AP83"/>
  <c r="AN92"/>
  <c r="AQ92" s="1"/>
  <c r="AM92"/>
  <c r="AP27"/>
  <c r="AO27"/>
  <c r="AP72"/>
  <c r="AO72"/>
  <c r="AP90" l="1"/>
  <c r="AP78"/>
  <c r="AO78"/>
  <c r="AO83"/>
  <c r="AO87"/>
  <c r="AP87"/>
  <c r="AP38"/>
  <c r="AO38"/>
  <c r="AP92"/>
  <c r="AO92"/>
  <c r="X11" l="1"/>
  <c r="K23" s="1"/>
  <c r="X8"/>
  <c r="K15" s="1"/>
  <c r="X10"/>
  <c r="X9"/>
  <c r="K24" l="1"/>
  <c r="R32" s="1"/>
  <c r="K14"/>
  <c r="N35" s="1"/>
  <c r="K21"/>
  <c r="K20"/>
  <c r="K17"/>
  <c r="K18"/>
  <c r="R38" l="1"/>
  <c r="R36"/>
  <c r="R27"/>
  <c r="R33"/>
  <c r="R29"/>
  <c r="M23"/>
  <c r="P7" s="1"/>
  <c r="R37"/>
  <c r="R30"/>
  <c r="R31"/>
  <c r="R28"/>
  <c r="R34"/>
  <c r="R35"/>
  <c r="N37"/>
  <c r="N27"/>
  <c r="N31"/>
  <c r="N32"/>
  <c r="N36"/>
  <c r="N33"/>
  <c r="N30"/>
  <c r="N29"/>
  <c r="M14"/>
  <c r="N34"/>
  <c r="N38"/>
  <c r="N28"/>
  <c r="M17"/>
  <c r="P9" s="1"/>
  <c r="P31"/>
  <c r="P35"/>
  <c r="P27"/>
  <c r="P30"/>
  <c r="P34"/>
  <c r="P38"/>
  <c r="P28"/>
  <c r="P36"/>
  <c r="P29"/>
  <c r="P33"/>
  <c r="P37"/>
  <c r="P32"/>
  <c r="M20"/>
  <c r="P8" s="1"/>
  <c r="Q32"/>
  <c r="Q28"/>
  <c r="Q33"/>
  <c r="Q34"/>
  <c r="Q31"/>
  <c r="Q37"/>
  <c r="Q30"/>
  <c r="Q35"/>
  <c r="Q36"/>
  <c r="Q29"/>
  <c r="Q38"/>
  <c r="Q27"/>
  <c r="M8" l="1"/>
</calcChain>
</file>

<file path=xl/comments1.xml><?xml version="1.0" encoding="utf-8"?>
<comments xmlns="http://schemas.openxmlformats.org/spreadsheetml/2006/main">
  <authors>
    <author>Juan José Navarro</author>
  </authors>
  <commentList>
    <comment ref="J10" authorId="0">
      <text>
        <r>
          <rPr>
            <b/>
            <sz val="8"/>
            <color indexed="81"/>
            <rFont val="Tahoma"/>
            <family val="2"/>
          </rPr>
          <t>waliki:</t>
        </r>
        <r>
          <rPr>
            <sz val="8"/>
            <color indexed="81"/>
            <rFont val="Tahoma"/>
            <family val="2"/>
          </rPr>
          <t xml:space="preserve">
inversor dc/ac 0,8
convertidor dc/dc 0,85
</t>
        </r>
      </text>
    </comment>
    <comment ref="I33" authorId="0">
      <text>
        <r>
          <rPr>
            <b/>
            <sz val="8"/>
            <color indexed="81"/>
            <rFont val="Tahoma"/>
            <family val="2"/>
          </rPr>
          <t>waliki:</t>
        </r>
        <r>
          <rPr>
            <sz val="8"/>
            <color indexed="81"/>
            <rFont val="Tahoma"/>
            <family val="2"/>
          </rPr>
          <t xml:space="preserve">
por defecto 0,98
debe ser mayor a 0,97 en cualquiera de los circuitos del sistema</t>
        </r>
      </text>
    </comment>
    <comment ref="J33" authorId="0">
      <text>
        <r>
          <rPr>
            <b/>
            <sz val="8"/>
            <color indexed="81"/>
            <rFont val="Tahoma"/>
            <family val="2"/>
          </rPr>
          <t>waliki:</t>
        </r>
        <r>
          <rPr>
            <sz val="8"/>
            <color indexed="81"/>
            <rFont val="Tahoma"/>
            <family val="2"/>
          </rPr>
          <t xml:space="preserve">
por defecto 0,9
</t>
        </r>
      </text>
    </comment>
  </commentList>
</comments>
</file>

<file path=xl/comments2.xml><?xml version="1.0" encoding="utf-8"?>
<comments xmlns="http://schemas.openxmlformats.org/spreadsheetml/2006/main">
  <authors>
    <author>Juan José Navarro</author>
  </authors>
  <commentList>
    <comment ref="F17" authorId="0">
      <text>
        <r>
          <rPr>
            <b/>
            <sz val="8"/>
            <color indexed="81"/>
            <rFont val="Tahoma"/>
            <family val="2"/>
          </rPr>
          <t>waliki:</t>
        </r>
        <r>
          <rPr>
            <sz val="8"/>
            <color indexed="81"/>
            <rFont val="Tahoma"/>
            <family val="2"/>
          </rPr>
          <t xml:space="preserve">
Tipo de batería   Valor defecto
plomo antimonio      0,8
plomo calcio           0,6
niquel cadmio          0,9</t>
        </r>
      </text>
    </comment>
  </commentList>
</comments>
</file>

<file path=xl/comments3.xml><?xml version="1.0" encoding="utf-8"?>
<comments xmlns="http://schemas.openxmlformats.org/spreadsheetml/2006/main">
  <authors>
    <author>Juan José Navarro</author>
  </authors>
  <commentList>
    <comment ref="E19" authorId="0">
      <text>
        <r>
          <rPr>
            <b/>
            <sz val="8"/>
            <color indexed="81"/>
            <rFont val="Tahoma"/>
            <family val="2"/>
          </rPr>
          <t>waliki:</t>
        </r>
        <r>
          <rPr>
            <sz val="8"/>
            <color indexed="81"/>
            <rFont val="Tahoma"/>
            <family val="2"/>
          </rPr>
          <t xml:space="preserve">
Cristalino 0,9
Amorfo 0,7
</t>
        </r>
      </text>
    </comment>
  </commentList>
</comments>
</file>

<file path=xl/comments4.xml><?xml version="1.0" encoding="utf-8"?>
<comments xmlns="http://schemas.openxmlformats.org/spreadsheetml/2006/main">
  <authors>
    <author xml:space="preserve"> navarro</author>
  </authors>
  <commentList>
    <comment ref="G7" authorId="0">
      <text>
        <r>
          <rPr>
            <b/>
            <sz val="8"/>
            <color indexed="81"/>
            <rFont val="Tahoma"/>
            <family val="2"/>
          </rPr>
          <t xml:space="preserve"> waliki:</t>
        </r>
        <r>
          <rPr>
            <sz val="8"/>
            <color indexed="81"/>
            <rFont val="Tahoma"/>
            <family val="2"/>
          </rPr>
          <t xml:space="preserve">
Se recomienda que en cualquier tramo de la instalación las caídas de tensión sean inferiores al 1,5%</t>
        </r>
      </text>
    </comment>
    <comment ref="L7" authorId="0">
      <text>
        <r>
          <rPr>
            <b/>
            <sz val="8"/>
            <color indexed="81"/>
            <rFont val="Tahoma"/>
            <family val="2"/>
          </rPr>
          <t>waliki:</t>
        </r>
        <r>
          <rPr>
            <sz val="8"/>
            <color indexed="81"/>
            <rFont val="Tahoma"/>
            <family val="2"/>
          </rPr>
          <t xml:space="preserve">
Si el cable va a trabajar a más de 40ºC consultar tabla 7 ITC_BT_06</t>
        </r>
      </text>
    </comment>
    <comment ref="M7" authorId="0">
      <text>
        <r>
          <rPr>
            <b/>
            <sz val="8"/>
            <color indexed="81"/>
            <rFont val="Tahoma"/>
            <family val="2"/>
          </rPr>
          <t>waliki:</t>
        </r>
        <r>
          <rPr>
            <sz val="8"/>
            <color indexed="81"/>
            <rFont val="Tahoma"/>
            <family val="2"/>
          </rPr>
          <t xml:space="preserve">
Si va a haber más de un conductor, consultar Tabla 6 ITC_BT_06</t>
        </r>
      </text>
    </comment>
  </commentList>
</comments>
</file>

<file path=xl/comments5.xml><?xml version="1.0" encoding="utf-8"?>
<comments xmlns="http://schemas.openxmlformats.org/spreadsheetml/2006/main">
  <authors>
    <author>USUARIOS</author>
  </authors>
  <commentList>
    <comment ref="M17" authorId="0">
      <text>
        <r>
          <rPr>
            <b/>
            <sz val="8"/>
            <color indexed="81"/>
            <rFont val="Tahoma"/>
            <family val="2"/>
          </rPr>
          <t xml:space="preserve">waliki:
</t>
        </r>
        <r>
          <rPr>
            <sz val="8"/>
            <color indexed="81"/>
            <rFont val="Tahoma"/>
            <family val="2"/>
          </rPr>
          <t>Si #¡NUM! Significa que no hay más opciones.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<sst xmlns="http://schemas.openxmlformats.org/spreadsheetml/2006/main" count="1071" uniqueCount="548">
  <si>
    <t>Potencia AC
(W)</t>
  </si>
  <si>
    <t>Ciclo diario
(horas/día)</t>
  </si>
  <si>
    <t>Rendimiento de 
conversión</t>
  </si>
  <si>
    <t>Consumo Amp-Hora
(Ah/día)</t>
  </si>
  <si>
    <t>SISTEMAS AC</t>
  </si>
  <si>
    <t>SISTEMAS DC</t>
  </si>
  <si>
    <t>Potencia Total
(W)</t>
  </si>
  <si>
    <t>Consumo Total (Ah/día)</t>
  </si>
  <si>
    <t>Potencia DC Total
(W)</t>
  </si>
  <si>
    <t>Potencia AC Total
(W)</t>
  </si>
  <si>
    <t>Factor de rendimiento
de cableado</t>
  </si>
  <si>
    <t>Consumo Total corregido
(Ah/día)</t>
  </si>
  <si>
    <t>Factor de rendimiento
de la batería</t>
  </si>
  <si>
    <t>Localidad</t>
  </si>
  <si>
    <t>Latitud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</si>
  <si>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</si>
  <si>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</si>
  <si>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</si>
  <si>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</si>
  <si>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</si>
  <si>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</si>
  <si>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</si>
  <si>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</si>
  <si>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</si>
  <si>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</si>
  <si>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</si>
  <si>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</si>
  <si>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</si>
  <si>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Consumo 
Corregido
(Ah/día)</t>
  </si>
  <si>
    <t>Horas de sol pico
(hrs/día)</t>
  </si>
  <si>
    <t>Horas sol 
pico</t>
  </si>
  <si>
    <t>DIMENSIONADO DE LA BATERÍA</t>
  </si>
  <si>
    <t>Consumo total
Ah corregido
(Ah/día)</t>
  </si>
  <si>
    <t>Días de autonomía</t>
  </si>
  <si>
    <t>Máxima profundidad
de descarga</t>
  </si>
  <si>
    <t>Corrección por 
temperatura</t>
  </si>
  <si>
    <t>Capacidad necesaria
de batería (Ah)</t>
  </si>
  <si>
    <t>Capacidad de 
la batería seleccionada
(Ah)</t>
  </si>
  <si>
    <t>Baterías en 
paralelo</t>
  </si>
  <si>
    <t>Baterías en 
serie</t>
  </si>
  <si>
    <t>Nº total de 
baterías</t>
  </si>
  <si>
    <t>INFORMACIÓN DE LA BATERÍA</t>
  </si>
  <si>
    <t>Marca</t>
  </si>
  <si>
    <t>Modelo</t>
  </si>
  <si>
    <t>Tipo</t>
  </si>
  <si>
    <t>Capacidad del 
sistema de baterías
(Ah)</t>
  </si>
  <si>
    <t>Factor de 
profundidad de
descarga estacional</t>
  </si>
  <si>
    <t>Baterías en 
 paralelo</t>
  </si>
  <si>
    <t>Capacidad 
Útil (Ah)</t>
  </si>
  <si>
    <t>Proyecto</t>
  </si>
  <si>
    <t>Contacto</t>
  </si>
  <si>
    <t>Persona a cargo</t>
  </si>
  <si>
    <t>Fecha</t>
  </si>
  <si>
    <t>Consumo Total
Ah/día</t>
  </si>
  <si>
    <t>DIMENSIONADO GENERADOR PV</t>
  </si>
  <si>
    <t>Factor de 
corrección del
módulo</t>
  </si>
  <si>
    <t>Tensión nomial
del sistema (V)</t>
  </si>
  <si>
    <t>Tensión nominal
del módulo (V)</t>
  </si>
  <si>
    <t>Total Módulos</t>
  </si>
  <si>
    <t>Albacete</t>
  </si>
  <si>
    <t>Alicante</t>
  </si>
  <si>
    <t>Almería</t>
  </si>
  <si>
    <t>Badajoz</t>
  </si>
  <si>
    <t>Burgos</t>
  </si>
  <si>
    <t>Cádiz</t>
  </si>
  <si>
    <t>Castellón</t>
  </si>
  <si>
    <t>Ciudad Real</t>
  </si>
  <si>
    <t>La Coruña</t>
  </si>
  <si>
    <t>Cuenca</t>
  </si>
  <si>
    <t>Gerona</t>
  </si>
  <si>
    <t>Guadalajara</t>
  </si>
  <si>
    <t>Huesca</t>
  </si>
  <si>
    <t>Granada</t>
  </si>
  <si>
    <t>León</t>
  </si>
  <si>
    <t>Lérida</t>
  </si>
  <si>
    <t>Logroño</t>
  </si>
  <si>
    <t>Lugo</t>
  </si>
  <si>
    <t>Madrid</t>
  </si>
  <si>
    <t>Málaga</t>
  </si>
  <si>
    <t>Murcia</t>
  </si>
  <si>
    <t>Orense</t>
  </si>
  <si>
    <t>Oviedo</t>
  </si>
  <si>
    <t>Pamplona</t>
  </si>
  <si>
    <t>Pontevedra</t>
  </si>
  <si>
    <t>Salamanca</t>
  </si>
  <si>
    <t>Santander</t>
  </si>
  <si>
    <t>Tenerife</t>
  </si>
  <si>
    <t>Segovia</t>
  </si>
  <si>
    <t>Sevilla</t>
  </si>
  <si>
    <t>Soria</t>
  </si>
  <si>
    <t>Tarragona</t>
  </si>
  <si>
    <t>Teruel</t>
  </si>
  <si>
    <t>Toledo</t>
  </si>
  <si>
    <t>Valencia</t>
  </si>
  <si>
    <t>Valladolid</t>
  </si>
  <si>
    <t>Vitoria</t>
  </si>
  <si>
    <t>Zamora</t>
  </si>
  <si>
    <t>Zaragoza</t>
  </si>
  <si>
    <t>Barcelona</t>
  </si>
  <si>
    <t>Huelva</t>
  </si>
  <si>
    <t>Melilla</t>
  </si>
  <si>
    <t>N</t>
  </si>
  <si>
    <t>Córdoba</t>
  </si>
  <si>
    <t>Sept.</t>
  </si>
  <si>
    <t>Oct.</t>
  </si>
  <si>
    <t>Nov.</t>
  </si>
  <si>
    <t>Dic.</t>
  </si>
  <si>
    <t>Ávila</t>
  </si>
  <si>
    <t>Cáceres</t>
  </si>
  <si>
    <t>Jaén</t>
  </si>
  <si>
    <t>RAD</t>
  </si>
  <si>
    <t>SLT</t>
  </si>
  <si>
    <t>CLT</t>
  </si>
  <si>
    <t>TLT</t>
  </si>
  <si>
    <t>SLTINCL</t>
  </si>
  <si>
    <t>CLTINCL</t>
  </si>
  <si>
    <t>TLTINCL</t>
  </si>
  <si>
    <t>IOEXT</t>
  </si>
  <si>
    <t>PI.24IOEXT</t>
  </si>
  <si>
    <t>LATITUD             [ º ]</t>
  </si>
  <si>
    <t>Incl</t>
  </si>
  <si>
    <t>Incli Rad</t>
  </si>
  <si>
    <t>Sen Incli</t>
  </si>
  <si>
    <t>Cos Incli</t>
  </si>
  <si>
    <t>Lat</t>
  </si>
  <si>
    <t>Lat. Rad</t>
  </si>
  <si>
    <t>LT Incli Rad</t>
  </si>
  <si>
    <t>Cos 37.5</t>
  </si>
  <si>
    <t>Rad 23.45</t>
  </si>
  <si>
    <t>Rad 360</t>
  </si>
  <si>
    <t>D.Rad</t>
  </si>
  <si>
    <t>R</t>
  </si>
  <si>
    <t>SDE</t>
  </si>
  <si>
    <t>CDE</t>
  </si>
  <si>
    <t>W1</t>
  </si>
  <si>
    <t>W2</t>
  </si>
  <si>
    <t>W2.RAD</t>
  </si>
  <si>
    <t>H0</t>
  </si>
  <si>
    <t>K1</t>
  </si>
  <si>
    <t>K(I)</t>
  </si>
  <si>
    <t>H1</t>
  </si>
  <si>
    <t>H</t>
  </si>
  <si>
    <t>W1.Rad</t>
  </si>
  <si>
    <t>Radiación</t>
  </si>
  <si>
    <t>OM</t>
  </si>
  <si>
    <t>Ciclo semanal
(días/semana)</t>
  </si>
  <si>
    <t>Isc del generador
(A)</t>
  </si>
  <si>
    <t>ESPECIFICACIONES DEL REGULADOR DE CARGA</t>
  </si>
  <si>
    <t>Reguladores 
en paralelo</t>
  </si>
  <si>
    <t>Puntos de corte ajustables</t>
  </si>
  <si>
    <t>Compensación de temperatura</t>
  </si>
  <si>
    <t>Seguidor MPP</t>
  </si>
  <si>
    <t>ACONDICIONAMIENTO DE POTENCIA</t>
  </si>
  <si>
    <t>INVERSOR</t>
  </si>
  <si>
    <t>Requerimientos del sistema</t>
  </si>
  <si>
    <t>Forma de onda</t>
  </si>
  <si>
    <t>(V)</t>
  </si>
  <si>
    <t>(W)</t>
  </si>
  <si>
    <t>Tensión (DC)</t>
  </si>
  <si>
    <t>Tensión (AC)</t>
  </si>
  <si>
    <t>Características:</t>
  </si>
  <si>
    <t>CONVERTIDOR DC/DC</t>
  </si>
  <si>
    <t>COMPONENTES DE PROTECCIÓN</t>
  </si>
  <si>
    <t>Voc del generador (V)</t>
  </si>
  <si>
    <t>Coriente Nominal (A)</t>
  </si>
  <si>
    <t>Tensión Nominal (V)</t>
  </si>
  <si>
    <t>Isc del generador PV (A)</t>
  </si>
  <si>
    <t>Tendido de Conductores</t>
  </si>
  <si>
    <t>Tensión del 
sistema (V)</t>
  </si>
  <si>
    <t>Máxima intensidad
(A)</t>
  </si>
  <si>
    <t>Caidas de 
tensión permitidas
(%)</t>
  </si>
  <si>
    <t>Sección calculada mm2</t>
  </si>
  <si>
    <t>Fusible
Calculado</t>
  </si>
  <si>
    <t>Tensión máxima
DC (V)</t>
  </si>
  <si>
    <t>Interruptor
Calculado</t>
  </si>
  <si>
    <t>Batería-Inversor</t>
  </si>
  <si>
    <t>Potencia
nominal del 
inversor (W)</t>
  </si>
  <si>
    <t>Rendimiento</t>
  </si>
  <si>
    <t>Especificaciones convertidor DC/DC</t>
  </si>
  <si>
    <t>Tensión de salida regulable</t>
  </si>
  <si>
    <t>Inversor-Consumo AC</t>
  </si>
  <si>
    <t>Intensidad
máxima AC
corregida</t>
  </si>
  <si>
    <t>Tensión máxima
AC (V)</t>
  </si>
  <si>
    <t>Otros interruptores</t>
  </si>
  <si>
    <t>Corrección por Tª</t>
  </si>
  <si>
    <t>Corrección por nº cables bajo mismo conducto</t>
  </si>
  <si>
    <t>Batería a Inversor</t>
  </si>
  <si>
    <t>OTROS CIRCUITOS</t>
  </si>
  <si>
    <t>Cumplimiento
con sistema de protección</t>
  </si>
  <si>
    <t>Regulador a batería</t>
  </si>
  <si>
    <t>Regulador a consumo DC</t>
  </si>
  <si>
    <t>Inversor a consumo AC</t>
  </si>
  <si>
    <t>Puesta a Tierra de equipos</t>
  </si>
  <si>
    <t>Puesta a Tierra del sistema</t>
  </si>
  <si>
    <t>Sección</t>
  </si>
  <si>
    <t>Tipo de puesta a tierra</t>
  </si>
  <si>
    <t>PUESTA A TIERRA</t>
  </si>
  <si>
    <t>Longitud
 (m)</t>
  </si>
  <si>
    <t xml:space="preserve">Proyecto </t>
  </si>
  <si>
    <t>CABLEADO DEL SISTEMA</t>
  </si>
  <si>
    <t>HORAS SOL PICO TOTALES:</t>
  </si>
  <si>
    <t>Marca y Modelo</t>
  </si>
  <si>
    <t xml:space="preserve">      INFORMACION DEL MÓDULO PV</t>
  </si>
  <si>
    <t>Potencia (Wp)</t>
  </si>
  <si>
    <t>Vmp (V)</t>
  </si>
  <si>
    <t>Imp (A)</t>
  </si>
  <si>
    <t>Voc (V)</t>
  </si>
  <si>
    <t>Isc (A)</t>
  </si>
  <si>
    <t>Tensión nominal
del sistema (V)</t>
  </si>
  <si>
    <t>Tensión Nominal del
Sistema (V)</t>
  </si>
  <si>
    <t>Tensión nominal 
de la batería (V)</t>
  </si>
  <si>
    <t>Intensidad máxima del generador (A)</t>
  </si>
  <si>
    <t>Intensidad DC
pico de consumo
(A)</t>
  </si>
  <si>
    <t>Máxima 
intensidad DC (A)</t>
  </si>
  <si>
    <t>Caida de tensión real según sección comercial (%)</t>
  </si>
  <si>
    <t>Sección comercial mm2</t>
  </si>
  <si>
    <t>Cumplimiento Sección comercial</t>
  </si>
  <si>
    <t>Intensidad (A)</t>
  </si>
  <si>
    <t>Tensión (V)</t>
  </si>
  <si>
    <t>Intensidad pico (A)</t>
  </si>
  <si>
    <t>Intensidad de
diseño (A)</t>
  </si>
  <si>
    <t>Intensidad 
corregida (A)</t>
  </si>
  <si>
    <t>Intensidad de diseño
corregida</t>
  </si>
  <si>
    <t>Intensidad nominal
del módulo (A)</t>
  </si>
  <si>
    <t>Intensidad de 
diseño (A)</t>
  </si>
  <si>
    <t>Intensidad mínima 
del regulador (A)</t>
  </si>
  <si>
    <t>Intensidad nominal
 del regulador (A)</t>
  </si>
  <si>
    <t>Protección Intensidad inversa</t>
  </si>
  <si>
    <t>Tensión corte sobrecarga</t>
  </si>
  <si>
    <t>Tensión corte sobredescarga</t>
  </si>
  <si>
    <t>Tensión rearme sobredescarga</t>
  </si>
  <si>
    <t>NO</t>
  </si>
  <si>
    <t>SI</t>
  </si>
  <si>
    <t>MODIFICADA</t>
  </si>
  <si>
    <t>SENOIDAL PURA</t>
  </si>
  <si>
    <t>Tensión Máxima (V)</t>
  </si>
  <si>
    <t>Generador a Regulador</t>
  </si>
  <si>
    <t xml:space="preserve">RADIACIÓN HORIZONTAL                     kWh/m2/mes                                                                                                                                                                                                           </t>
  </si>
  <si>
    <t>Alcalá de Henares</t>
  </si>
  <si>
    <t>Alcorcón</t>
  </si>
  <si>
    <t>Algeciras</t>
  </si>
  <si>
    <t>Badalona</t>
  </si>
  <si>
    <t>Baracaldo</t>
  </si>
  <si>
    <t>Bilbao</t>
  </si>
  <si>
    <t>Cartagena</t>
  </si>
  <si>
    <t>Elche</t>
  </si>
  <si>
    <t>Fuenlabrada</t>
  </si>
  <si>
    <t>Getafe</t>
  </si>
  <si>
    <t>Gijón</t>
  </si>
  <si>
    <t>Hospitalet Llobregat</t>
  </si>
  <si>
    <t>Jerez de la Frontera</t>
  </si>
  <si>
    <t>Las Palmas GC</t>
  </si>
  <si>
    <t>Leganés</t>
  </si>
  <si>
    <t>Mataró</t>
  </si>
  <si>
    <t>Móstoles</t>
  </si>
  <si>
    <t>Palma de Mallorca</t>
  </si>
  <si>
    <t>Sabadell</t>
  </si>
  <si>
    <t>San Sebastián</t>
  </si>
  <si>
    <t>Santa Coloma de Gramanet</t>
  </si>
  <si>
    <t>Tarrasa</t>
  </si>
  <si>
    <t>Vigo</t>
  </si>
  <si>
    <t>Temperaturas medias mensuales/anuales ºC 1.971-2000</t>
  </si>
  <si>
    <t>Máxima</t>
  </si>
  <si>
    <t>Temperatura Ambiente máxima ºC</t>
  </si>
  <si>
    <t>Temperatura de célula con Irradiancia máxima ºC</t>
  </si>
  <si>
    <t>ANÁLISIS DEL COSTE DEL CICLO DE VIDA</t>
  </si>
  <si>
    <t>Años para el análisis del Ciclo:</t>
  </si>
  <si>
    <t>Tasa de inversión:</t>
  </si>
  <si>
    <t>Tasa de inflación:</t>
  </si>
  <si>
    <t>Tasa de inflación del combustible:</t>
  </si>
  <si>
    <t>Tasa de descuento real:</t>
  </si>
  <si>
    <t>Diferencial de inflación de combustible:</t>
  </si>
  <si>
    <t>Partida</t>
  </si>
  <si>
    <t>Factor Valor Presente</t>
  </si>
  <si>
    <t>Importe ( € )</t>
  </si>
  <si>
    <t>Importe en Valor Presente ( € )</t>
  </si>
  <si>
    <t>Equipo e Instalación</t>
  </si>
  <si>
    <t>Operación y Mantenimiento</t>
  </si>
  <si>
    <t>Mano de Obra</t>
  </si>
  <si>
    <t>Materiales</t>
  </si>
  <si>
    <t>Seguros</t>
  </si>
  <si>
    <t>Otros</t>
  </si>
  <si>
    <t>Costes de la Energía</t>
  </si>
  <si>
    <t>Combustible</t>
  </si>
  <si>
    <t>Reparaciones y Cambios</t>
  </si>
  <si>
    <t>Valor residual</t>
  </si>
  <si>
    <t>Coste Total Ciclo de Vida del Proyecto</t>
  </si>
  <si>
    <t>Inspección Anual</t>
  </si>
  <si>
    <t>% estimado</t>
  </si>
  <si>
    <t>Coste</t>
  </si>
  <si>
    <t>Parámetros económicos proyecto:</t>
  </si>
  <si>
    <t>Generador Diesel</t>
  </si>
  <si>
    <t>Sistema PV</t>
  </si>
  <si>
    <t>Porcentaje sobre el coste Total Ciclo de Vida ( % )</t>
  </si>
  <si>
    <t>Baterías</t>
  </si>
  <si>
    <t>Resto del sistema</t>
  </si>
  <si>
    <t>Instalación</t>
  </si>
  <si>
    <t>Generador PV</t>
  </si>
  <si>
    <t>Banco de Baterías 1º</t>
  </si>
  <si>
    <t>Banco de Baterías 2º</t>
  </si>
  <si>
    <t>Banco de Baterías 3º</t>
  </si>
  <si>
    <t>SUBTOTAL  A</t>
  </si>
  <si>
    <t>SUBTOTAL  B</t>
  </si>
  <si>
    <t>SUBTOTAL  C</t>
  </si>
  <si>
    <t>Reparaciones y Sustitciones</t>
  </si>
  <si>
    <t>Tensión de circuito abierto a Tc (V)</t>
  </si>
  <si>
    <t>Regulador de carga</t>
  </si>
  <si>
    <t>Velocidad de viento (m/s)</t>
  </si>
  <si>
    <t>Eficiencia Aerogenerador</t>
  </si>
  <si>
    <t>Densidad Energía Eólica x Efa</t>
  </si>
  <si>
    <t>Peor mes fotovoltaico</t>
  </si>
  <si>
    <t>Peor mes eólico</t>
  </si>
  <si>
    <t>Densidad de potencia</t>
  </si>
  <si>
    <t>f</t>
  </si>
  <si>
    <t>e</t>
  </si>
  <si>
    <t>Configuración sólo FV (kWp)</t>
  </si>
  <si>
    <t>Configuración sólo eólica (m2)</t>
  </si>
  <si>
    <t>Coste (Euros)</t>
  </si>
  <si>
    <t>ESTUDIO DE SISTEMA HÍBRIDO FOTOVOLTAICO-EÓLICO</t>
  </si>
  <si>
    <t>m1</t>
  </si>
  <si>
    <t>n1</t>
  </si>
  <si>
    <t>n</t>
  </si>
  <si>
    <t>m</t>
  </si>
  <si>
    <t>n-m</t>
  </si>
  <si>
    <t>n1-m1</t>
  </si>
  <si>
    <t>Ángulo inclinación</t>
  </si>
  <si>
    <t>Enero-Febrero</t>
  </si>
  <si>
    <t>P(kWp)</t>
  </si>
  <si>
    <t>A(m2)</t>
  </si>
  <si>
    <t>Enero-Marzo</t>
  </si>
  <si>
    <t>Enero-Abril</t>
  </si>
  <si>
    <t>Enero-Mayo</t>
  </si>
  <si>
    <t>Enero-Junio</t>
  </si>
  <si>
    <t>Enero-Julio</t>
  </si>
  <si>
    <t>Enero-Agosto</t>
  </si>
  <si>
    <t>Enero-Septiembre</t>
  </si>
  <si>
    <t>Enero-Octubre</t>
  </si>
  <si>
    <t>Enero-Noviembre</t>
  </si>
  <si>
    <t>Enero-Diciembre</t>
  </si>
  <si>
    <t>Condicionantes Área</t>
  </si>
  <si>
    <t>Condicionantes Potencia</t>
  </si>
  <si>
    <t>Febrero-Marzo</t>
  </si>
  <si>
    <t>Min Área</t>
  </si>
  <si>
    <t>Máxima P</t>
  </si>
  <si>
    <t>Comprobación P</t>
  </si>
  <si>
    <t>Febrero-Abril</t>
  </si>
  <si>
    <t>Febrero-Mayo</t>
  </si>
  <si>
    <t>Febrero-Junio</t>
  </si>
  <si>
    <t>Febrero-Julio</t>
  </si>
  <si>
    <t>Febrero-Agosto</t>
  </si>
  <si>
    <t>Febrero-Septiembre</t>
  </si>
  <si>
    <t>Febrero-Octubre</t>
  </si>
  <si>
    <t>Febrero-Noviembre</t>
  </si>
  <si>
    <t>Febrero-Diciembre</t>
  </si>
  <si>
    <t>Marzo-Abril</t>
  </si>
  <si>
    <t>Marzo-Mayo</t>
  </si>
  <si>
    <t>Marzo-Junio</t>
  </si>
  <si>
    <t>Marzo-Julio</t>
  </si>
  <si>
    <t>Marzo-Agosto</t>
  </si>
  <si>
    <t>Marzo-Septiembre</t>
  </si>
  <si>
    <t>Marzo-Octubre</t>
  </si>
  <si>
    <t>Marzo-Noviembre</t>
  </si>
  <si>
    <t>Marzo-Diciembre</t>
  </si>
  <si>
    <t>Abril-Mayo</t>
  </si>
  <si>
    <t>Abril-Junio</t>
  </si>
  <si>
    <t>Abril-Julio</t>
  </si>
  <si>
    <t>Abril-Agosto</t>
  </si>
  <si>
    <t>Abril-Septiembre</t>
  </si>
  <si>
    <t>Abril-Octubre</t>
  </si>
  <si>
    <t>Abril-Noviembre</t>
  </si>
  <si>
    <t>Abril-Diciembre</t>
  </si>
  <si>
    <t>Mayo-Junio</t>
  </si>
  <si>
    <t>Mayo-Julio</t>
  </si>
  <si>
    <t>Mayo-Agosto</t>
  </si>
  <si>
    <t>Mayo-Septiembre</t>
  </si>
  <si>
    <t>Mayo-Octubre</t>
  </si>
  <si>
    <t>Mayo-Noviembre</t>
  </si>
  <si>
    <t>Mayo-Diciembre</t>
  </si>
  <si>
    <t>Junio-Julio</t>
  </si>
  <si>
    <t>Junio-Agosto</t>
  </si>
  <si>
    <t>Junio-Septiembre</t>
  </si>
  <si>
    <t>Junio-Octubre</t>
  </si>
  <si>
    <t>Junio-Noviembre</t>
  </si>
  <si>
    <t>Junio-Diciembre</t>
  </si>
  <si>
    <t>Julio-Agosto</t>
  </si>
  <si>
    <t>Julio-Septiembre</t>
  </si>
  <si>
    <t>Julio-Octubre</t>
  </si>
  <si>
    <t>Julio-Noviembre</t>
  </si>
  <si>
    <t>Julio-Diciembre</t>
  </si>
  <si>
    <t>Agosto-Septiembre</t>
  </si>
  <si>
    <t>Agosto-Octubre</t>
  </si>
  <si>
    <t>Agosto-Noviembre</t>
  </si>
  <si>
    <t>Agosto-Diciembre</t>
  </si>
  <si>
    <t>Septiembre-Octubre</t>
  </si>
  <si>
    <t>Septiembre-Noviembre</t>
  </si>
  <si>
    <t>Septiembre-Diciembre</t>
  </si>
  <si>
    <t>Octubre-Noviembre</t>
  </si>
  <si>
    <t>Octubre-Diciembre</t>
  </si>
  <si>
    <t>Noviembre-Diciembre</t>
  </si>
  <si>
    <t>FV (Kwp)</t>
  </si>
  <si>
    <t>(m2)</t>
  </si>
  <si>
    <t>Configuración 
Óptima Hibrida</t>
  </si>
  <si>
    <t>Consumo diario (kWh/día)</t>
  </si>
  <si>
    <t>Altura de Rotor</t>
  </si>
  <si>
    <t>V. de viento altura rotor (m/s)</t>
  </si>
  <si>
    <t>Energía Generada Solo FV (kWh/día)</t>
  </si>
  <si>
    <t>Energía Generada Solo Eólica (kWh/día)</t>
  </si>
  <si>
    <t>Energía Generada Óptima Híbrida (kWh/día)</t>
  </si>
  <si>
    <t>Horas sol 
pico día</t>
  </si>
  <si>
    <t>2ª Configuración 
Hibrida</t>
  </si>
  <si>
    <t>3ª Configuración 
Hibrida</t>
  </si>
  <si>
    <t>4ª Configuración 
Hibrida</t>
  </si>
  <si>
    <t>Energía Generada 2ª Híbrida (kWh/día)</t>
  </si>
  <si>
    <t>Energía Generada 3ª Híbrida (kWh/día)</t>
  </si>
  <si>
    <t>Energía Generada 4ª Híbrida (kWh/día)</t>
  </si>
  <si>
    <t>Imax admisible por el cable (A)</t>
  </si>
  <si>
    <t>Imax admitida 
corregida (A)</t>
  </si>
  <si>
    <t>Intensidad 
máxima (A)</t>
  </si>
  <si>
    <t>Intensidad
máxima 
corregida (A)</t>
  </si>
  <si>
    <t>Tensión máxima
(V)</t>
  </si>
  <si>
    <t xml:space="preserve">Año Valor Actual Simple </t>
  </si>
  <si>
    <t>Años Valor Actual Uniforme</t>
  </si>
  <si>
    <t>Prueba</t>
  </si>
  <si>
    <t>Factor Valor Actual</t>
  </si>
  <si>
    <t>Importe en Valor Actual ( € )</t>
  </si>
  <si>
    <t>Banco de Baterías 1°</t>
  </si>
  <si>
    <t>Banco de Baterías 2°</t>
  </si>
  <si>
    <t>Banco de Baterías 3°</t>
  </si>
  <si>
    <t>Coste R fv (€/kWp)</t>
  </si>
  <si>
    <t>CARGAS EN AC</t>
  </si>
  <si>
    <t>CARGAS EN DC</t>
  </si>
  <si>
    <t>Descripción de la Carga</t>
  </si>
  <si>
    <t>Ángulo de Inclinación</t>
  </si>
  <si>
    <t>Nº de Cargas</t>
  </si>
  <si>
    <t>Ángulo Seleccionado</t>
  </si>
  <si>
    <t>Ángulo Óptimo Anual</t>
  </si>
  <si>
    <t>Ángulo Óptimo Invierno</t>
  </si>
  <si>
    <t>Baterias en paralelo seleccionadas</t>
  </si>
  <si>
    <t>Período de recuperación Invierno 100% de carga Baterias (días)</t>
  </si>
  <si>
    <t>Baterías en 
paralelo min. Recomendadas</t>
  </si>
  <si>
    <t>Período de recuperación Verano 100% de carga Baterias (días)</t>
  </si>
  <si>
    <t>ADVERTENCIAS AL DIMENSIONADO</t>
  </si>
  <si>
    <t>SELECCIÓN CONSUMO A LO LARGO DEL AÑO</t>
  </si>
  <si>
    <t>INTENSIDAD Y ÁNGULO DE INCLINACIÓN</t>
  </si>
  <si>
    <t>Consumo Total
Corregido
(Ah/día)</t>
  </si>
  <si>
    <t>Mes de Diseño</t>
  </si>
  <si>
    <t>Mes  de Diseño</t>
  </si>
  <si>
    <t>Ángulo Óptimo Verano</t>
  </si>
  <si>
    <t>Mes de diseño</t>
  </si>
  <si>
    <t>Tensión Máxima del sistema (V)</t>
  </si>
  <si>
    <t>Profundidad de descarga media diaria real (%)</t>
  </si>
  <si>
    <r>
      <t>C</t>
    </r>
    <r>
      <rPr>
        <b/>
        <sz val="10"/>
        <color theme="9" tint="-0.499984740745262"/>
        <rFont val="Calibri"/>
        <family val="2"/>
        <scheme val="minor"/>
      </rPr>
      <t>100</t>
    </r>
    <r>
      <rPr>
        <b/>
        <sz val="11"/>
        <color theme="9" tint="-0.499984740745262"/>
        <rFont val="Calibri"/>
        <family val="2"/>
        <scheme val="minor"/>
      </rPr>
      <t xml:space="preserve"> (Ah)</t>
    </r>
  </si>
  <si>
    <t>Modulos en paralelo seleccionados</t>
  </si>
  <si>
    <t>Módulos en
paralelo min. Recomendados</t>
  </si>
  <si>
    <t>PARÁMETROS DE DISEÑO</t>
  </si>
  <si>
    <t>Módulos en serie seleccionados</t>
  </si>
  <si>
    <t>Módulos en serie min. Recomendados</t>
  </si>
  <si>
    <t>Potencia Pico Generador (Wp)</t>
  </si>
  <si>
    <t>Módulos en
Paralelo</t>
  </si>
  <si>
    <t>Módulos en Serie</t>
  </si>
  <si>
    <t>Tensión
Nominal (V)</t>
  </si>
  <si>
    <t>Tensión Max. Necesaria Para Flotación (V)</t>
  </si>
  <si>
    <t>Tensión Máx. Necesaria Para Ecualización (V)</t>
  </si>
  <si>
    <t>Energía Media Diaria Generada en PV (kWh/d)</t>
  </si>
  <si>
    <t>MEDIA</t>
  </si>
  <si>
    <t>Productividad del Generador</t>
  </si>
  <si>
    <t>Productividad Final</t>
  </si>
  <si>
    <t xml:space="preserve">      INFORMACION DEL REGULADOR DE CARGA</t>
  </si>
  <si>
    <t>Tensión sistema (V)</t>
  </si>
  <si>
    <t>Intensidad sistema (A)</t>
  </si>
  <si>
    <t>Intensidad DC carga (A)</t>
  </si>
  <si>
    <t>Tensión DC (V)</t>
  </si>
  <si>
    <t>Tensión AC (V)</t>
  </si>
  <si>
    <t>Potencia Máxima (W)</t>
  </si>
  <si>
    <t>Tiempo de operación en sobrecarga (min.)</t>
  </si>
  <si>
    <t>Rendimiento a carga nominal (%)</t>
  </si>
  <si>
    <t>Tensión DC entrada (V)</t>
  </si>
  <si>
    <t>Tensión DC salida (V)</t>
  </si>
  <si>
    <t>Potencia de salida (W)</t>
  </si>
  <si>
    <t>Temperatura de operación (ºC)</t>
  </si>
  <si>
    <t>Tensión de entrada (V)</t>
  </si>
  <si>
    <t>Tensión de salida (V)</t>
  </si>
  <si>
    <t>Intensidad salida (A)</t>
  </si>
  <si>
    <t>Generador-Regulador/es</t>
  </si>
  <si>
    <t>Regulador/es-Consumo DC</t>
  </si>
  <si>
    <t>Interruptor Magnetotérmico Calculado</t>
  </si>
  <si>
    <t>Magnetotérmico Comercal</t>
  </si>
  <si>
    <t>Intensidad Máxima (A)</t>
  </si>
  <si>
    <t>Intensidad Nominal (A)</t>
  </si>
  <si>
    <t>Tipo/Sensibilidad</t>
  </si>
  <si>
    <t>Inerruptor
Comercial</t>
  </si>
  <si>
    <t>Fusible
comercial</t>
  </si>
  <si>
    <t>ADVERTENCIAS</t>
  </si>
  <si>
    <t>Capacidad de la
batería selecionada
C100(Ah)</t>
  </si>
  <si>
    <t>Coste R eólico (€/m2)</t>
  </si>
  <si>
    <t>CUADRADA</t>
  </si>
  <si>
    <t>Coeficiente de simultaneidad (%)</t>
  </si>
  <si>
    <t>Potencia Nominal min necesaria (W)</t>
  </si>
  <si>
    <t>Grado de Viabilidad Técnico/Económica</t>
  </si>
  <si>
    <t>Profundidad de descarga media max. al final días de autonomia (%)</t>
  </si>
  <si>
    <t>Energía Necesaria (kWh/d)</t>
  </si>
  <si>
    <t>Necesidades del Sistema</t>
  </si>
  <si>
    <t>CALCULO DEL CONSUMO CONSTANTE A LO LARGO DEL AÑO</t>
  </si>
  <si>
    <t>TENSIÓN UTILIZADA EN CC PARA EL CÁLCULO DEL CONSUMO NO CTE (V)</t>
  </si>
  <si>
    <t>INTENSIDAD MÁXIMA DE LAS CARGAS EN CC NECESARIA (A)</t>
  </si>
  <si>
    <t>POTENCIA MÁXIMA NECESARIA DE LAS CARGAS EN CA (W)</t>
  </si>
  <si>
    <t>Intensidad 
máxima AC (A)</t>
  </si>
  <si>
    <r>
      <t>1</t>
    </r>
    <r>
      <rPr>
        <b/>
        <vertAlign val="superscript"/>
        <sz val="11"/>
        <color theme="9" tint="-0.499984740745262"/>
        <rFont val="Calibri"/>
        <family val="2"/>
        <scheme val="minor"/>
      </rPr>
      <t>er</t>
    </r>
    <r>
      <rPr>
        <b/>
        <sz val="11"/>
        <color theme="9" tint="-0.499984740745262"/>
        <rFont val="Calibri"/>
        <family val="2"/>
        <scheme val="minor"/>
      </rPr>
      <t xml:space="preserve"> Reajuste Generador </t>
    </r>
  </si>
  <si>
    <t>2º Reajuste Generador</t>
  </si>
  <si>
    <r>
      <t>3</t>
    </r>
    <r>
      <rPr>
        <b/>
        <vertAlign val="superscript"/>
        <sz val="11"/>
        <color theme="9" tint="-0.499984740745262"/>
        <rFont val="Calibri"/>
        <family val="2"/>
        <scheme val="minor"/>
      </rPr>
      <t>er</t>
    </r>
    <r>
      <rPr>
        <b/>
        <sz val="11"/>
        <color theme="9" tint="-0.499984740745262"/>
        <rFont val="Calibri"/>
        <family val="2"/>
        <scheme val="minor"/>
      </rPr>
      <t xml:space="preserve"> Reajuste Generador</t>
    </r>
  </si>
  <si>
    <t>Energía Aportada por Baterías kWh/día</t>
  </si>
  <si>
    <t>Balance de Energía (kWh/d)</t>
  </si>
  <si>
    <t>Interruptor Diferencial Calculado</t>
  </si>
  <si>
    <t>Interruptor
diferencial Comercial</t>
  </si>
  <si>
    <t>Tensión de flotación 25º C (V)</t>
  </si>
  <si>
    <t>Tensión de Ecualización 25ºC (V)</t>
  </si>
  <si>
    <t>POLICRISTALINO</t>
  </si>
  <si>
    <t>SOLARTEC RC</t>
  </si>
  <si>
    <t>RC48-N</t>
  </si>
  <si>
    <t>Potencia nominal (W)</t>
  </si>
  <si>
    <t>Nº de Inversores seleccionados</t>
  </si>
  <si>
    <t>Especificaciones Inversor/es</t>
  </si>
  <si>
    <t>Potencia Total AC (W)</t>
  </si>
  <si>
    <t>Nº inversores MIN. necesarios</t>
  </si>
  <si>
    <t>GRÁFICO DEL COMPORTAMIENTO DEL SISTEMA</t>
  </si>
  <si>
    <t>Inversor-Cargador</t>
  </si>
  <si>
    <t>Compensación de Tensión</t>
  </si>
  <si>
    <t>Sensor de Tª</t>
  </si>
  <si>
    <t>Sistema de conmutación automático</t>
  </si>
  <si>
    <t>GENERADOR DIESEL</t>
  </si>
  <si>
    <t>Potencia pico max (W)</t>
  </si>
  <si>
    <t>Corriente de carga máxima (A)</t>
  </si>
  <si>
    <t>Tiempo aprox. Carga Baterías (h)</t>
  </si>
  <si>
    <t>Potencia Nominal (kW)</t>
  </si>
  <si>
    <t>Potencia Máxima (kW)</t>
  </si>
  <si>
    <t>Combustible utilizado</t>
  </si>
  <si>
    <t>Autonomía</t>
  </si>
  <si>
    <t>Sistema de arranque</t>
  </si>
  <si>
    <t>Victron</t>
  </si>
  <si>
    <t>48/5000/70</t>
  </si>
  <si>
    <t>Equipo de telecomunicaciones</t>
  </si>
  <si>
    <t>ECOSAFE</t>
  </si>
  <si>
    <t>12 Baterias Gel Hawker 12V</t>
  </si>
  <si>
    <t>NA</t>
  </si>
  <si>
    <t>EXION SOLUCIONES SA</t>
  </si>
  <si>
    <t>Elemento de equipos de radio</t>
  </si>
  <si>
    <t>Ventilador de bastidor</t>
  </si>
  <si>
    <t>Equipo de transmisión</t>
  </si>
</sst>
</file>

<file path=xl/styles.xml><?xml version="1.0" encoding="utf-8"?>
<styleSheet xmlns="http://schemas.openxmlformats.org/spreadsheetml/2006/main">
  <numFmts count="8">
    <numFmt numFmtId="164" formatCode="0.000"/>
    <numFmt numFmtId="165" formatCode="0.0"/>
    <numFmt numFmtId="166" formatCode="#,##0.00\ &quot;€&quot;"/>
    <numFmt numFmtId="167" formatCode="#,##0.000"/>
    <numFmt numFmtId="168" formatCode="0.0%"/>
    <numFmt numFmtId="169" formatCode="0.0000"/>
    <numFmt numFmtId="170" formatCode="#,##0.00\ [$€-40A]"/>
    <numFmt numFmtId="171" formatCode="#,##0\ &quot;€&quot;"/>
  </numFmts>
  <fonts count="10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1"/>
      <name val="Arial Unicode MS"/>
      <family val="2"/>
    </font>
    <font>
      <b/>
      <sz val="11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4"/>
      <name val="Arial Unicode MS"/>
      <family val="2"/>
    </font>
    <font>
      <b/>
      <sz val="11"/>
      <color indexed="57"/>
      <name val="Arial Unicode MS"/>
      <family val="2"/>
    </font>
    <font>
      <i/>
      <sz val="12"/>
      <color indexed="8"/>
      <name val="Arial"/>
      <family val="2"/>
    </font>
    <font>
      <i/>
      <sz val="12"/>
      <name val="Arial"/>
      <family val="2"/>
    </font>
    <font>
      <sz val="8"/>
      <name val="Arial"/>
      <family val="2"/>
    </font>
    <font>
      <sz val="10"/>
      <name val="Courier"/>
      <family val="3"/>
    </font>
    <font>
      <sz val="8"/>
      <name val="Times New Roman"/>
      <family val="1"/>
    </font>
    <font>
      <sz val="10"/>
      <name val="Times New Roman"/>
      <family val="1"/>
    </font>
    <font>
      <sz val="8"/>
      <color indexed="8"/>
      <name val="Arial"/>
      <family val="2"/>
    </font>
    <font>
      <b/>
      <sz val="10"/>
      <name val="Arial Unicode MS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10"/>
      <color indexed="43"/>
      <name val="Arial Unicode MS"/>
      <family val="2"/>
    </font>
    <font>
      <b/>
      <sz val="10"/>
      <color indexed="43"/>
      <name val="Arial"/>
      <family val="2"/>
    </font>
    <font>
      <b/>
      <sz val="11"/>
      <color indexed="43"/>
      <name val="Arial Unicode MS"/>
      <family val="2"/>
    </font>
    <font>
      <i/>
      <sz val="10"/>
      <name val="Arial"/>
      <family val="2"/>
    </font>
    <font>
      <b/>
      <sz val="10"/>
      <color indexed="48"/>
      <name val="Arial"/>
      <family val="2"/>
    </font>
    <font>
      <sz val="10"/>
      <name val="Arial"/>
      <family val="2"/>
    </font>
    <font>
      <b/>
      <sz val="10"/>
      <color indexed="61"/>
      <name val="Arial"/>
      <family val="2"/>
    </font>
    <font>
      <sz val="10"/>
      <color indexed="48"/>
      <name val="Arial"/>
      <family val="2"/>
    </font>
    <font>
      <b/>
      <i/>
      <u/>
      <sz val="10"/>
      <name val="Arial"/>
      <family val="2"/>
    </font>
    <font>
      <i/>
      <sz val="11"/>
      <color indexed="8"/>
      <name val="Arial"/>
      <family val="2"/>
    </font>
    <font>
      <i/>
      <sz val="11"/>
      <name val="Arial"/>
      <family val="2"/>
    </font>
    <font>
      <b/>
      <sz val="10"/>
      <color indexed="47"/>
      <name val="Arial"/>
      <family val="2"/>
    </font>
    <font>
      <b/>
      <sz val="10"/>
      <color indexed="47"/>
      <name val="Arial Narrow"/>
      <family val="2"/>
    </font>
    <font>
      <b/>
      <sz val="11"/>
      <color indexed="47"/>
      <name val="Arial Unicode MS"/>
      <family val="2"/>
    </font>
    <font>
      <b/>
      <sz val="10"/>
      <color indexed="26"/>
      <name val="Arial"/>
      <family val="2"/>
    </font>
    <font>
      <b/>
      <sz val="10"/>
      <color indexed="10"/>
      <name val="Arial"/>
      <family val="2"/>
    </font>
    <font>
      <b/>
      <i/>
      <sz val="10"/>
      <color indexed="43"/>
      <name val="Arial"/>
      <family val="2"/>
    </font>
    <font>
      <sz val="10"/>
      <color indexed="9"/>
      <name val="Arial"/>
      <family val="2"/>
    </font>
    <font>
      <sz val="8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-0.499984740745262"/>
      <name val="Arial Unicode MS"/>
      <family val="2"/>
    </font>
    <font>
      <b/>
      <sz val="10"/>
      <color theme="5" tint="-0.499984740745262"/>
      <name val="Arial Unicode MS"/>
      <family val="2"/>
    </font>
    <font>
      <b/>
      <sz val="11"/>
      <color rgb="FFC0000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b/>
      <sz val="11"/>
      <color theme="9" tint="-0.499984740745262"/>
      <name val="Arial Unicode MS"/>
      <family val="2"/>
    </font>
    <font>
      <b/>
      <sz val="16"/>
      <color theme="9" tint="-0.499984740745262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1" tint="0.1499984740745262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0"/>
      <color theme="0"/>
      <name val="Arial Unicode MS"/>
      <family val="2"/>
    </font>
    <font>
      <b/>
      <sz val="11"/>
      <color rgb="FFFF0000"/>
      <name val="Century Gothic"/>
      <family val="2"/>
    </font>
    <font>
      <b/>
      <sz val="11"/>
      <color rgb="FF7030A0"/>
      <name val="Century Gothic"/>
      <family val="2"/>
    </font>
    <font>
      <b/>
      <sz val="10"/>
      <color theme="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b/>
      <sz val="14"/>
      <color rgb="FF9C6500"/>
      <name val="Calibri"/>
      <family val="2"/>
      <scheme val="minor"/>
    </font>
    <font>
      <b/>
      <sz val="10"/>
      <color rgb="FF9C650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6" tint="-0.499984740745262"/>
      <name val="Arial Unicode MS"/>
      <family val="2"/>
    </font>
    <font>
      <b/>
      <sz val="14"/>
      <color theme="2"/>
      <name val="Calibri"/>
      <family val="2"/>
      <scheme val="minor"/>
    </font>
    <font>
      <b/>
      <sz val="16"/>
      <color theme="5" tint="-0.499984740745262"/>
      <name val="Arial"/>
      <family val="2"/>
    </font>
    <font>
      <b/>
      <sz val="11"/>
      <color indexed="10"/>
      <name val="Arial"/>
      <family val="2"/>
    </font>
    <font>
      <b/>
      <sz val="11"/>
      <color rgb="FFFA7D00"/>
      <name val="Calibri"/>
      <family val="2"/>
      <scheme val="minor"/>
    </font>
    <font>
      <b/>
      <sz val="9"/>
      <color rgb="FFFF0000"/>
      <name val="Century Gothic"/>
      <family val="2"/>
    </font>
    <font>
      <b/>
      <sz val="11"/>
      <color theme="3" tint="-0.249977111117893"/>
      <name val="Century Gothic"/>
      <family val="2"/>
    </font>
    <font>
      <b/>
      <sz val="11"/>
      <color rgb="FF7030A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9"/>
      <color rgb="FF9C6500"/>
      <name val="Calibri"/>
      <family val="2"/>
      <scheme val="minor"/>
    </font>
    <font>
      <b/>
      <sz val="16"/>
      <color rgb="FF9C6500"/>
      <name val="Calibri"/>
      <family val="2"/>
      <scheme val="minor"/>
    </font>
    <font>
      <b/>
      <sz val="11"/>
      <color theme="4" tint="-0.249977111117893"/>
      <name val="Century Gothic"/>
      <family val="2"/>
    </font>
    <font>
      <sz val="10"/>
      <name val="Calibri"/>
      <family val="2"/>
      <scheme val="minor"/>
    </font>
    <font>
      <sz val="9"/>
      <color rgb="FF9C650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2"/>
      <color theme="2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indexed="47"/>
      <name val="Arial Unicode MS"/>
      <family val="2"/>
    </font>
    <font>
      <b/>
      <sz val="14"/>
      <color rgb="FF3F3F3F"/>
      <name val="Calibri"/>
      <family val="2"/>
      <scheme val="minor"/>
    </font>
    <font>
      <b/>
      <vertAlign val="superscript"/>
      <sz val="11"/>
      <color theme="9" tint="-0.499984740745262"/>
      <name val="Calibri"/>
      <family val="2"/>
      <scheme val="minor"/>
    </font>
    <font>
      <sz val="10"/>
      <color theme="0"/>
      <name val="Calibri"/>
      <family val="2"/>
      <scheme val="minor"/>
    </font>
    <font>
      <u/>
      <sz val="10"/>
      <color theme="10"/>
      <name val="Arial"/>
      <family val="2"/>
    </font>
    <font>
      <sz val="10"/>
      <color theme="0" tint="-0.14999847407452621"/>
      <name val="Arial"/>
      <family val="2"/>
    </font>
    <font>
      <sz val="11"/>
      <color theme="0" tint="-4.9989318521683403E-2"/>
      <name val="Calibri"/>
      <family val="2"/>
      <scheme val="minor"/>
    </font>
    <font>
      <sz val="10"/>
      <color theme="0" tint="-4.9989318521683403E-2"/>
      <name val="Arial"/>
      <family val="2"/>
    </font>
    <font>
      <b/>
      <sz val="11"/>
      <color theme="0" tint="-4.9989318521683403E-2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b/>
      <sz val="9"/>
      <color theme="3" tint="-0.249977111117893"/>
      <name val="Century Gothic"/>
      <family val="2"/>
    </font>
    <font>
      <b/>
      <sz val="12"/>
      <color rgb="FF9C6500"/>
      <name val="Calibri"/>
      <family val="2"/>
      <scheme val="minor"/>
    </font>
    <font>
      <sz val="10"/>
      <color rgb="FFFF00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bgColor indexed="5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4"/>
      </patternFill>
    </fill>
    <fill>
      <patternFill patternType="solid">
        <fgColor rgb="FFFFEB9C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gradientFill degree="90">
        <stop position="0">
          <color theme="0"/>
        </stop>
        <stop position="1">
          <color theme="2" tint="-9.8025452436902985E-2"/>
        </stop>
      </gradientFill>
    </fill>
    <fill>
      <gradientFill degree="90">
        <stop position="0">
          <color theme="0"/>
        </stop>
        <stop position="1">
          <color theme="2" tint="-0.49803155613879818"/>
        </stop>
      </gradientFill>
    </fill>
    <fill>
      <gradientFill degree="90">
        <stop position="0">
          <color theme="0"/>
        </stop>
        <stop position="0.5">
          <color theme="2" tint="-0.49803155613879818"/>
        </stop>
        <stop position="1">
          <color theme="0"/>
        </stop>
      </gradientFill>
    </fill>
    <fill>
      <gradientFill degree="270">
        <stop position="0">
          <color theme="0"/>
        </stop>
        <stop position="1">
          <color theme="2" tint="-0.74901577806939912"/>
        </stop>
      </gradientFill>
    </fill>
    <fill>
      <patternFill patternType="solid">
        <fgColor theme="4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auto="1"/>
      </patternFill>
    </fill>
    <fill>
      <patternFill patternType="solid">
        <fgColor rgb="FFFFC000"/>
        <bgColor indexed="64"/>
      </patternFill>
    </fill>
  </fills>
  <borders count="2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26"/>
      </bottom>
      <diagonal/>
    </border>
    <border>
      <left style="dotted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26"/>
      </top>
      <bottom style="thin">
        <color indexed="26"/>
      </bottom>
      <diagonal/>
    </border>
    <border>
      <left style="medium">
        <color indexed="64"/>
      </left>
      <right/>
      <top style="thin">
        <color indexed="26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medium">
        <color indexed="64"/>
      </top>
      <bottom/>
      <diagonal/>
    </border>
    <border>
      <left style="dashed">
        <color indexed="64"/>
      </left>
      <right style="double">
        <color indexed="64"/>
      </right>
      <top/>
      <bottom/>
      <diagonal/>
    </border>
    <border>
      <left style="dashed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ashed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theme="6" tint="-0.249977111117893"/>
      </top>
      <bottom style="medium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/>
      <top/>
      <bottom/>
      <diagonal/>
    </border>
    <border>
      <left/>
      <right style="thin">
        <color theme="6" tint="-0.24997711111789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6" tint="-0.249977111117893"/>
      </bottom>
      <diagonal/>
    </border>
    <border>
      <left style="dashed">
        <color indexed="64"/>
      </left>
      <right style="dashed">
        <color indexed="64"/>
      </right>
      <top style="medium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dashed">
        <color indexed="64"/>
      </right>
      <top style="medium">
        <color theme="6" tint="-0.249977111117893"/>
      </top>
      <bottom style="medium">
        <color theme="6" tint="-0.249977111117893"/>
      </bottom>
      <diagonal/>
    </border>
    <border>
      <left style="dashed">
        <color indexed="64"/>
      </left>
      <right style="dotted">
        <color indexed="64"/>
      </right>
      <top style="medium">
        <color theme="6" tint="-0.249977111117893"/>
      </top>
      <bottom style="medium">
        <color theme="6" tint="-0.249977111117893"/>
      </bottom>
      <diagonal/>
    </border>
    <border>
      <left style="dotted">
        <color indexed="64"/>
      </left>
      <right style="dotted">
        <color indexed="64"/>
      </right>
      <top style="medium">
        <color theme="6" tint="-0.249977111117893"/>
      </top>
      <bottom style="medium">
        <color theme="6" tint="-0.249977111117893"/>
      </bottom>
      <diagonal/>
    </border>
    <border>
      <left style="dotted">
        <color indexed="64"/>
      </left>
      <right style="dotted">
        <color indexed="64"/>
      </right>
      <top style="medium">
        <color theme="6" tint="-0.24994659260841701"/>
      </top>
      <bottom style="medium">
        <color theme="6" tint="-0.24994659260841701"/>
      </bottom>
      <diagonal/>
    </border>
    <border>
      <left/>
      <right style="medium">
        <color theme="6" tint="-0.24994659260841701"/>
      </right>
      <top style="medium">
        <color theme="6" tint="-0.24994659260841701"/>
      </top>
      <bottom style="medium">
        <color theme="6" tint="-0.24994659260841701"/>
      </bottom>
      <diagonal/>
    </border>
    <border>
      <left style="medium">
        <color theme="6" tint="-0.249977111117893"/>
      </left>
      <right/>
      <top style="medium">
        <color theme="6" tint="-0.249977111117893"/>
      </top>
      <bottom style="medium">
        <color theme="6" tint="-0.249977111117893"/>
      </bottom>
      <diagonal/>
    </border>
    <border>
      <left/>
      <right/>
      <top style="medium">
        <color theme="6" tint="-0.249977111117893"/>
      </top>
      <bottom style="medium">
        <color theme="6" tint="-0.249977111117893"/>
      </bottom>
      <diagonal/>
    </border>
    <border>
      <left/>
      <right style="medium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dashed">
        <color theme="0" tint="-0.499984740745262"/>
      </left>
      <right/>
      <top/>
      <bottom/>
      <diagonal/>
    </border>
    <border>
      <left/>
      <right style="dashed">
        <color theme="0" tint="-0.499984740745262"/>
      </right>
      <top style="medium">
        <color theme="0"/>
      </top>
      <bottom style="medium">
        <color theme="0"/>
      </bottom>
      <diagonal/>
    </border>
    <border>
      <left/>
      <right style="medium">
        <color theme="6" tint="-0.249977111117893"/>
      </right>
      <top/>
      <bottom/>
      <diagonal/>
    </border>
    <border>
      <left style="medium">
        <color theme="6" tint="-0.249977111117893"/>
      </left>
      <right/>
      <top/>
      <bottom style="medium">
        <color theme="6" tint="-0.249977111117893"/>
      </bottom>
      <diagonal/>
    </border>
    <border>
      <left/>
      <right/>
      <top/>
      <bottom style="medium">
        <color theme="6" tint="-0.249977111117893"/>
      </bottom>
      <diagonal/>
    </border>
    <border>
      <left/>
      <right style="medium">
        <color theme="6" tint="-0.249977111117893"/>
      </right>
      <top/>
      <bottom style="medium">
        <color theme="6" tint="-0.249977111117893"/>
      </bottom>
      <diagonal/>
    </border>
    <border>
      <left style="medium">
        <color theme="6" tint="-0.249977111117893"/>
      </left>
      <right/>
      <top style="medium">
        <color theme="6" tint="-0.249977111117893"/>
      </top>
      <bottom/>
      <diagonal/>
    </border>
    <border>
      <left/>
      <right/>
      <top style="medium">
        <color theme="6" tint="-0.249977111117893"/>
      </top>
      <bottom/>
      <diagonal/>
    </border>
    <border>
      <left/>
      <right style="medium">
        <color theme="6" tint="-0.249977111117893"/>
      </right>
      <top style="medium">
        <color theme="6" tint="-0.249977111117893"/>
      </top>
      <bottom/>
      <diagonal/>
    </border>
    <border>
      <left/>
      <right style="dashed">
        <color indexed="64"/>
      </right>
      <top style="medium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/>
      <top/>
      <bottom/>
      <diagonal/>
    </border>
    <border>
      <left style="dotted">
        <color indexed="64"/>
      </left>
      <right/>
      <top style="medium">
        <color theme="6" tint="-0.249977111117893"/>
      </top>
      <bottom style="medium">
        <color theme="6" tint="-0.249977111117893"/>
      </bottom>
      <diagonal/>
    </border>
    <border>
      <left/>
      <right/>
      <top style="thin">
        <color theme="6" tint="-0.249977111117893"/>
      </top>
      <bottom/>
      <diagonal/>
    </border>
    <border>
      <left style="medium">
        <color theme="6" tint="-0.249977111117893"/>
      </left>
      <right style="medium">
        <color theme="6" tint="-0.249977111117893"/>
      </right>
      <top style="thin">
        <color theme="6" tint="-0.249977111117893"/>
      </top>
      <bottom/>
      <diagonal/>
    </border>
    <border>
      <left style="medium">
        <color theme="6" tint="-0.249977111117893"/>
      </left>
      <right style="medium">
        <color theme="6" tint="-0.249977111117893"/>
      </right>
      <top/>
      <bottom/>
      <diagonal/>
    </border>
    <border>
      <left style="dashed">
        <color indexed="64"/>
      </left>
      <right/>
      <top style="medium">
        <color theme="6" tint="-0.249977111117893"/>
      </top>
      <bottom style="medium">
        <color theme="6" tint="-0.249977111117893"/>
      </bottom>
      <diagonal/>
    </border>
    <border>
      <left style="dotted">
        <color indexed="64"/>
      </left>
      <right style="medium">
        <color theme="6" tint="-0.249977111117893"/>
      </right>
      <top style="medium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medium">
        <color theme="6" tint="-0.249977111117893"/>
      </right>
      <top/>
      <bottom style="medium">
        <color theme="6" tint="-0.249977111117893"/>
      </bottom>
      <diagonal/>
    </border>
    <border>
      <left style="medium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medium">
        <color theme="6" tint="-0.249977111117893"/>
      </right>
      <top style="medium">
        <color theme="6" tint="-0.249977111117893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6" tint="-0.249977111117893"/>
      </left>
      <right style="dashed">
        <color indexed="64"/>
      </right>
      <top/>
      <bottom/>
      <diagonal/>
    </border>
    <border>
      <left style="dash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theme="6" tint="-0.249977111117893"/>
      </right>
      <top/>
      <bottom/>
      <diagonal/>
    </border>
    <border>
      <left style="dotted">
        <color indexed="64"/>
      </left>
      <right style="medium">
        <color theme="6" tint="-0.249977111117893"/>
      </right>
      <top/>
      <bottom style="medium">
        <color theme="6" tint="-0.249977111117893"/>
      </bottom>
      <diagonal/>
    </border>
    <border>
      <left style="medium">
        <color theme="6" tint="-0.249977111117893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theme="6" tint="-0.24994659260841701"/>
      </right>
      <top/>
      <bottom/>
      <diagonal/>
    </border>
    <border>
      <left style="medium">
        <color theme="6" tint="-0.249977111117893"/>
      </left>
      <right/>
      <top style="thin">
        <color theme="6" tint="-0.249977111117893"/>
      </top>
      <bottom style="medium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/>
      <right/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4659260841701"/>
      </left>
      <right style="dotted">
        <color indexed="64"/>
      </right>
      <top/>
      <bottom/>
      <diagonal/>
    </border>
    <border>
      <left style="medium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dashed">
        <color indexed="64"/>
      </right>
      <top style="medium">
        <color theme="6" tint="-0.249977111117893"/>
      </top>
      <bottom/>
      <diagonal/>
    </border>
    <border>
      <left style="dashed">
        <color indexed="64"/>
      </left>
      <right style="dotted">
        <color indexed="64"/>
      </right>
      <top style="medium">
        <color theme="6" tint="-0.249977111117893"/>
      </top>
      <bottom/>
      <diagonal/>
    </border>
    <border>
      <left style="dotted">
        <color indexed="64"/>
      </left>
      <right style="dotted">
        <color indexed="64"/>
      </right>
      <top style="medium">
        <color theme="6" tint="-0.24994659260841701"/>
      </top>
      <bottom/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/>
      <bottom style="thin">
        <color theme="6" tint="-0.249977111117893"/>
      </bottom>
      <diagonal/>
    </border>
    <border>
      <left style="medium">
        <color theme="6" tint="-0.24994659260841701"/>
      </left>
      <right/>
      <top/>
      <bottom/>
      <diagonal/>
    </border>
    <border>
      <left style="dashed">
        <color indexed="64"/>
      </left>
      <right style="dashed">
        <color indexed="64"/>
      </right>
      <top style="medium">
        <color theme="6" tint="-0.249977111117893"/>
      </top>
      <bottom/>
      <diagonal/>
    </border>
    <border>
      <left/>
      <right style="medium">
        <color theme="6" tint="-0.24994659260841701"/>
      </right>
      <top style="medium">
        <color theme="6" tint="-0.24994659260841701"/>
      </top>
      <bottom/>
      <diagonal/>
    </border>
    <border>
      <left style="medium">
        <color theme="6" tint="-0.249977111117893"/>
      </left>
      <right/>
      <top/>
      <bottom style="thin">
        <color theme="6" tint="-0.249977111117893"/>
      </bottom>
      <diagonal/>
    </border>
    <border>
      <left style="medium">
        <color theme="6" tint="-0.249977111117893"/>
      </left>
      <right style="medium">
        <color theme="6" tint="-0.249977111117893"/>
      </right>
      <top/>
      <bottom style="thin">
        <color theme="6" tint="-0.249977111117893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medium">
        <color theme="6" tint="-0.249977111117893"/>
      </left>
      <right/>
      <top style="thin">
        <color theme="6" tint="-0.249977111117893"/>
      </top>
      <bottom/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 style="medium">
        <color theme="6" tint="-0.249977111117893"/>
      </right>
      <top/>
      <bottom/>
      <diagonal/>
    </border>
    <border>
      <left style="thin">
        <color theme="6" tint="-0.249977111117893"/>
      </left>
      <right style="thin">
        <color theme="6" tint="-0.249977111117893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6" tint="-0.24994659260841701"/>
      </left>
      <right style="dotted">
        <color indexed="64"/>
      </right>
      <top style="medium">
        <color theme="6" tint="-0.24994659260841701"/>
      </top>
      <bottom style="medium">
        <color theme="6" tint="-0.24994659260841701"/>
      </bottom>
      <diagonal/>
    </border>
    <border>
      <left style="dotted">
        <color indexed="64"/>
      </left>
      <right/>
      <top style="medium">
        <color theme="6" tint="-0.249977111117893"/>
      </top>
      <bottom style="medium">
        <color theme="6" tint="-0.24994659260841701"/>
      </bottom>
      <diagonal/>
    </border>
    <border>
      <left style="dashed">
        <color indexed="64"/>
      </left>
      <right style="dashed">
        <color indexed="64"/>
      </right>
      <top style="medium">
        <color theme="6" tint="-0.24994659260841701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hair">
        <color indexed="64"/>
      </right>
      <top style="medium">
        <color theme="6" tint="-0.24994659260841701"/>
      </top>
      <bottom style="medium">
        <color theme="6" tint="-0.24994659260841701"/>
      </bottom>
      <diagonal/>
    </border>
    <border>
      <left style="dotted">
        <color indexed="64"/>
      </left>
      <right style="medium">
        <color theme="6" tint="-0.24994659260841701"/>
      </right>
      <top style="medium">
        <color theme="6" tint="-0.249977111117893"/>
      </top>
      <bottom style="medium">
        <color theme="6" tint="-0.24994659260841701"/>
      </bottom>
      <diagonal/>
    </border>
    <border>
      <left style="dotted">
        <color theme="0"/>
      </left>
      <right/>
      <top style="dotted">
        <color theme="0"/>
      </top>
      <bottom style="dotted">
        <color theme="0"/>
      </bottom>
      <diagonal/>
    </border>
    <border>
      <left style="medium">
        <color theme="0"/>
      </left>
      <right/>
      <top style="medium">
        <color theme="0"/>
      </top>
      <bottom style="dotted">
        <color theme="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 style="medium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rgb="FF3F3F3F"/>
      </top>
      <bottom style="thin">
        <color rgb="FF3F3F3F"/>
      </bottom>
      <diagonal/>
    </border>
    <border>
      <left/>
      <right/>
      <top style="medium">
        <color theme="0"/>
      </top>
      <bottom style="dotted">
        <color theme="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dotted">
        <color theme="0"/>
      </top>
      <bottom style="dotted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n">
        <color rgb="FF3F3F3F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double">
        <color theme="0"/>
      </right>
      <top/>
      <bottom style="thin">
        <color rgb="FF3F3F3F"/>
      </bottom>
      <diagonal/>
    </border>
    <border>
      <left style="medium">
        <color theme="6" tint="-0.249977111117893"/>
      </left>
      <right style="medium">
        <color theme="6" tint="-0.249977111117893"/>
      </right>
      <top style="thin">
        <color rgb="FF3F3F3F"/>
      </top>
      <bottom/>
      <diagonal/>
    </border>
    <border>
      <left/>
      <right style="thin">
        <color rgb="FF3F3F3F"/>
      </right>
      <top style="thick">
        <color theme="0"/>
      </top>
      <bottom style="thin">
        <color rgb="FF3F3F3F"/>
      </bottom>
      <diagonal/>
    </border>
    <border>
      <left style="thin">
        <color rgb="FF3F3F3F"/>
      </left>
      <right/>
      <top style="thick">
        <color theme="0"/>
      </top>
      <bottom style="thin">
        <color rgb="FF3F3F3F"/>
      </bottom>
      <diagonal/>
    </border>
    <border>
      <left/>
      <right style="thin">
        <color auto="1"/>
      </right>
      <top style="thick">
        <color theme="0"/>
      </top>
      <bottom style="thin">
        <color rgb="FF3F3F3F"/>
      </bottom>
      <diagonal/>
    </border>
    <border>
      <left/>
      <right/>
      <top style="thick">
        <color theme="0"/>
      </top>
      <bottom style="thin">
        <color rgb="FF3F3F3F"/>
      </bottom>
      <diagonal/>
    </border>
    <border>
      <left style="thin">
        <color rgb="FF3F3F3F"/>
      </left>
      <right/>
      <top style="thick">
        <color theme="0"/>
      </top>
      <bottom/>
      <diagonal/>
    </border>
    <border>
      <left style="medium">
        <color theme="6" tint="-0.249977111117893"/>
      </left>
      <right style="medium">
        <color theme="6" tint="-0.249977111117893"/>
      </right>
      <top style="thin">
        <color rgb="FF3F3F3F"/>
      </top>
      <bottom style="thin">
        <color theme="6" tint="-0.24997711111789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3F3F3F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theme="6" tint="-0.249977111117893"/>
      </left>
      <right/>
      <top style="medium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dashed">
        <color indexed="64"/>
      </right>
      <top/>
      <bottom style="medium">
        <color theme="6" tint="-0.249977111117893"/>
      </bottom>
      <diagonal/>
    </border>
    <border>
      <left style="dashed">
        <color indexed="64"/>
      </left>
      <right style="medium">
        <color theme="6" tint="-0.24994659260841701"/>
      </right>
      <top style="medium">
        <color theme="6" tint="-0.24994659260841701"/>
      </top>
      <bottom/>
      <diagonal/>
    </border>
    <border>
      <left style="dashed">
        <color indexed="64"/>
      </left>
      <right style="medium">
        <color theme="6" tint="-0.24994659260841701"/>
      </right>
      <top/>
      <bottom style="medium">
        <color theme="6" tint="-0.24994659260841701"/>
      </bottom>
      <diagonal/>
    </border>
    <border>
      <left/>
      <right/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dashed">
        <color theme="0" tint="-0.499984740745262"/>
      </right>
      <top style="medium">
        <color theme="0"/>
      </top>
      <bottom/>
      <diagonal/>
    </border>
    <border>
      <left style="dashed">
        <color theme="0" tint="-0.499984740745262"/>
      </left>
      <right style="medium">
        <color theme="0"/>
      </right>
      <top style="medium">
        <color theme="0"/>
      </top>
      <bottom/>
      <diagonal/>
    </border>
    <border>
      <left style="dashed">
        <color theme="0" tint="-0.499984740745262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dotted">
        <color indexed="64"/>
      </right>
      <top style="medium">
        <color theme="0"/>
      </top>
      <bottom/>
      <diagonal/>
    </border>
    <border>
      <left style="dotted">
        <color indexed="64"/>
      </left>
      <right style="medium">
        <color theme="0"/>
      </right>
      <top style="medium">
        <color theme="0"/>
      </top>
      <bottom/>
      <diagonal/>
    </border>
  </borders>
  <cellStyleXfs count="15">
    <xf numFmtId="0" fontId="0" fillId="0" borderId="0"/>
    <xf numFmtId="0" fontId="48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48" fillId="26" borderId="0" applyNumberFormat="0" applyBorder="0" applyAlignment="0" applyProtection="0"/>
    <xf numFmtId="0" fontId="49" fillId="27" borderId="0" applyNumberFormat="0" applyBorder="0" applyAlignment="0" applyProtection="0"/>
    <xf numFmtId="0" fontId="51" fillId="28" borderId="0" applyNumberFormat="0" applyBorder="0" applyAlignment="0" applyProtection="0"/>
    <xf numFmtId="0" fontId="22" fillId="0" borderId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80" fillId="44" borderId="132" applyNumberFormat="0" applyAlignment="0" applyProtection="0"/>
    <xf numFmtId="0" fontId="49" fillId="48" borderId="0" applyNumberFormat="0" applyBorder="0" applyAlignment="0" applyProtection="0"/>
    <xf numFmtId="0" fontId="4" fillId="49" borderId="0" applyNumberFormat="0" applyBorder="0" applyAlignment="0" applyProtection="0"/>
    <xf numFmtId="0" fontId="84" fillId="44" borderId="179" applyNumberFormat="0" applyAlignment="0" applyProtection="0"/>
    <xf numFmtId="0" fontId="97" fillId="0" borderId="0" applyNumberFormat="0" applyFill="0" applyBorder="0" applyAlignment="0" applyProtection="0">
      <alignment vertical="top"/>
      <protection locked="0"/>
    </xf>
  </cellStyleXfs>
  <cellXfs count="723">
    <xf numFmtId="0" fontId="0" fillId="0" borderId="0" xfId="0"/>
    <xf numFmtId="1" fontId="25" fillId="0" borderId="0" xfId="7" applyNumberFormat="1" applyFont="1" applyFill="1" applyBorder="1" applyAlignment="1" applyProtection="1">
      <alignment horizontal="center" vertical="center"/>
      <protection hidden="1"/>
    </xf>
    <xf numFmtId="1" fontId="25" fillId="0" borderId="1" xfId="7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0" fillId="0" borderId="2" xfId="0" applyBorder="1"/>
    <xf numFmtId="0" fontId="23" fillId="0" borderId="0" xfId="7" applyFont="1" applyAlignment="1" applyProtection="1">
      <alignment horizontal="center" vertical="center" wrapText="1"/>
      <protection hidden="1"/>
    </xf>
    <xf numFmtId="2" fontId="23" fillId="0" borderId="8" xfId="7" applyNumberFormat="1" applyFont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3" fillId="0" borderId="0" xfId="7" applyFont="1" applyAlignment="1" applyProtection="1">
      <alignment horizontal="center" vertical="center"/>
      <protection hidden="1"/>
    </xf>
    <xf numFmtId="0" fontId="21" fillId="0" borderId="9" xfId="7" applyFont="1" applyBorder="1" applyAlignment="1" applyProtection="1">
      <alignment horizontal="center" vertical="center"/>
      <protection hidden="1"/>
    </xf>
    <xf numFmtId="0" fontId="21" fillId="0" borderId="10" xfId="7" quotePrefix="1" applyFont="1" applyBorder="1" applyAlignment="1" applyProtection="1">
      <alignment horizontal="center" vertical="center"/>
      <protection hidden="1"/>
    </xf>
    <xf numFmtId="0" fontId="21" fillId="0" borderId="11" xfId="7" quotePrefix="1" applyFont="1" applyBorder="1" applyAlignment="1" applyProtection="1">
      <alignment horizontal="center" vertical="center"/>
      <protection hidden="1"/>
    </xf>
    <xf numFmtId="0" fontId="23" fillId="0" borderId="12" xfId="7" applyFont="1" applyBorder="1" applyAlignment="1" applyProtection="1">
      <alignment horizontal="center" vertical="center"/>
      <protection hidden="1"/>
    </xf>
    <xf numFmtId="0" fontId="23" fillId="0" borderId="13" xfId="7" applyFont="1" applyBorder="1" applyAlignment="1" applyProtection="1">
      <alignment horizontal="center" vertical="center"/>
      <protection hidden="1"/>
    </xf>
    <xf numFmtId="0" fontId="23" fillId="0" borderId="0" xfId="7" applyFont="1" applyBorder="1" applyAlignment="1" applyProtection="1">
      <alignment horizontal="center" vertical="center"/>
      <protection hidden="1"/>
    </xf>
    <xf numFmtId="0" fontId="23" fillId="0" borderId="1" xfId="7" applyFont="1" applyBorder="1" applyAlignment="1" applyProtection="1">
      <alignment horizontal="center" vertical="center"/>
      <protection hidden="1"/>
    </xf>
    <xf numFmtId="2" fontId="23" fillId="0" borderId="14" xfId="7" applyNumberFormat="1" applyFont="1" applyBorder="1" applyAlignment="1" applyProtection="1">
      <alignment horizontal="center" vertical="center"/>
      <protection hidden="1"/>
    </xf>
    <xf numFmtId="1" fontId="0" fillId="0" borderId="0" xfId="0" applyNumberFormat="1" applyProtection="1">
      <protection hidden="1"/>
    </xf>
    <xf numFmtId="0" fontId="21" fillId="0" borderId="13" xfId="7" applyFont="1" applyBorder="1" applyAlignment="1" applyProtection="1">
      <alignment horizontal="center" vertical="center"/>
      <protection hidden="1"/>
    </xf>
    <xf numFmtId="0" fontId="21" fillId="0" borderId="0" xfId="7" quotePrefix="1" applyFont="1" applyBorder="1" applyAlignment="1" applyProtection="1">
      <alignment horizontal="center" vertical="center"/>
      <protection hidden="1"/>
    </xf>
    <xf numFmtId="0" fontId="21" fillId="0" borderId="1" xfId="7" quotePrefix="1" applyFont="1" applyBorder="1" applyAlignment="1" applyProtection="1">
      <alignment horizontal="center" vertical="center"/>
      <protection hidden="1"/>
    </xf>
    <xf numFmtId="0" fontId="23" fillId="0" borderId="14" xfId="7" applyFont="1" applyBorder="1" applyAlignment="1" applyProtection="1">
      <alignment horizontal="center" vertical="center"/>
      <protection hidden="1"/>
    </xf>
    <xf numFmtId="0" fontId="23" fillId="0" borderId="15" xfId="7" applyFont="1" applyBorder="1" applyAlignment="1" applyProtection="1">
      <alignment horizontal="center" vertical="center"/>
      <protection hidden="1"/>
    </xf>
    <xf numFmtId="0" fontId="23" fillId="0" borderId="16" xfId="7" applyFont="1" applyBorder="1" applyAlignment="1" applyProtection="1">
      <alignment horizontal="center" vertical="center"/>
      <protection hidden="1"/>
    </xf>
    <xf numFmtId="0" fontId="23" fillId="0" borderId="17" xfId="7" applyFont="1" applyBorder="1" applyAlignment="1" applyProtection="1">
      <alignment horizontal="center" vertical="center"/>
      <protection hidden="1"/>
    </xf>
    <xf numFmtId="2" fontId="23" fillId="0" borderId="18" xfId="7" applyNumberFormat="1" applyFont="1" applyBorder="1" applyAlignment="1" applyProtection="1">
      <alignment horizontal="center" vertical="center"/>
      <protection hidden="1"/>
    </xf>
    <xf numFmtId="0" fontId="24" fillId="0" borderId="9" xfId="7" applyFont="1" applyBorder="1" applyAlignment="1" applyProtection="1">
      <alignment horizontal="center"/>
      <protection hidden="1"/>
    </xf>
    <xf numFmtId="0" fontId="24" fillId="0" borderId="10" xfId="7" applyFont="1" applyBorder="1" applyAlignment="1" applyProtection="1">
      <alignment horizontal="center"/>
      <protection hidden="1"/>
    </xf>
    <xf numFmtId="0" fontId="24" fillId="0" borderId="13" xfId="7" applyFont="1" applyBorder="1" applyAlignment="1" applyProtection="1">
      <alignment horizontal="center"/>
      <protection hidden="1"/>
    </xf>
    <xf numFmtId="0" fontId="24" fillId="0" borderId="11" xfId="7" applyFont="1" applyBorder="1" applyAlignment="1" applyProtection="1">
      <alignment horizontal="center"/>
      <protection hidden="1"/>
    </xf>
    <xf numFmtId="0" fontId="24" fillId="0" borderId="13" xfId="0" applyFont="1" applyBorder="1" applyAlignment="1" applyProtection="1">
      <alignment horizontal="center"/>
      <protection hidden="1"/>
    </xf>
    <xf numFmtId="0" fontId="23" fillId="0" borderId="0" xfId="0" applyFont="1" applyProtection="1">
      <protection hidden="1"/>
    </xf>
    <xf numFmtId="0" fontId="23" fillId="0" borderId="9" xfId="0" applyFont="1" applyBorder="1" applyProtection="1">
      <protection hidden="1"/>
    </xf>
    <xf numFmtId="0" fontId="23" fillId="0" borderId="10" xfId="0" applyFont="1" applyBorder="1" applyProtection="1">
      <protection hidden="1"/>
    </xf>
    <xf numFmtId="0" fontId="23" fillId="0" borderId="11" xfId="0" applyFont="1" applyBorder="1" applyProtection="1">
      <protection hidden="1"/>
    </xf>
    <xf numFmtId="0" fontId="10" fillId="2" borderId="19" xfId="0" applyFont="1" applyFill="1" applyBorder="1" applyAlignment="1">
      <alignment horizontal="center" wrapText="1"/>
    </xf>
    <xf numFmtId="0" fontId="0" fillId="3" borderId="0" xfId="0" applyFill="1"/>
    <xf numFmtId="0" fontId="0" fillId="4" borderId="0" xfId="0" applyFill="1"/>
    <xf numFmtId="4" fontId="35" fillId="5" borderId="0" xfId="0" applyNumberFormat="1" applyFont="1" applyFill="1" applyBorder="1" applyAlignment="1">
      <alignment horizontal="center"/>
    </xf>
    <xf numFmtId="0" fontId="0" fillId="0" borderId="0" xfId="0" applyFill="1" applyBorder="1"/>
    <xf numFmtId="4" fontId="35" fillId="2" borderId="0" xfId="0" applyNumberFormat="1" applyFont="1" applyFill="1" applyBorder="1" applyAlignment="1">
      <alignment horizontal="center"/>
    </xf>
    <xf numFmtId="0" fontId="8" fillId="6" borderId="0" xfId="0" applyFont="1" applyFill="1" applyBorder="1"/>
    <xf numFmtId="0" fontId="0" fillId="4" borderId="0" xfId="0" applyFill="1" applyBorder="1"/>
    <xf numFmtId="0" fontId="32" fillId="0" borderId="22" xfId="0" applyFont="1" applyBorder="1"/>
    <xf numFmtId="0" fontId="0" fillId="4" borderId="2" xfId="0" applyFill="1" applyBorder="1"/>
    <xf numFmtId="22" fontId="19" fillId="1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>
      <alignment horizontal="center" wrapText="1"/>
    </xf>
    <xf numFmtId="2" fontId="0" fillId="0" borderId="0" xfId="0" applyNumberFormat="1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167" fontId="0" fillId="0" borderId="0" xfId="0" applyNumberFormat="1"/>
    <xf numFmtId="164" fontId="0" fillId="12" borderId="0" xfId="0" applyNumberFormat="1" applyFill="1"/>
    <xf numFmtId="165" fontId="0" fillId="12" borderId="0" xfId="0" applyNumberFormat="1" applyFill="1"/>
    <xf numFmtId="0" fontId="31" fillId="13" borderId="28" xfId="0" applyFont="1" applyFill="1" applyBorder="1"/>
    <xf numFmtId="0" fontId="31" fillId="13" borderId="29" xfId="0" applyFont="1" applyFill="1" applyBorder="1"/>
    <xf numFmtId="0" fontId="31" fillId="13" borderId="30" xfId="0" applyFont="1" applyFill="1" applyBorder="1"/>
    <xf numFmtId="2" fontId="28" fillId="0" borderId="19" xfId="0" applyNumberFormat="1" applyFont="1" applyFill="1" applyBorder="1" applyAlignment="1" applyProtection="1">
      <alignment horizontal="center"/>
      <protection hidden="1"/>
    </xf>
    <xf numFmtId="0" fontId="44" fillId="0" borderId="0" xfId="0" applyFont="1"/>
    <xf numFmtId="169" fontId="0" fillId="0" borderId="0" xfId="0" applyNumberFormat="1"/>
    <xf numFmtId="1" fontId="0" fillId="12" borderId="0" xfId="0" applyNumberFormat="1" applyFill="1"/>
    <xf numFmtId="1" fontId="0" fillId="11" borderId="0" xfId="0" applyNumberFormat="1" applyFill="1"/>
    <xf numFmtId="169" fontId="0" fillId="11" borderId="0" xfId="0" applyNumberFormat="1" applyFill="1"/>
    <xf numFmtId="167" fontId="0" fillId="11" borderId="0" xfId="0" applyNumberFormat="1" applyFill="1"/>
    <xf numFmtId="164" fontId="0" fillId="11" borderId="0" xfId="0" applyNumberFormat="1" applyFill="1"/>
    <xf numFmtId="0" fontId="0" fillId="11" borderId="0" xfId="0" applyFill="1"/>
    <xf numFmtId="0" fontId="0" fillId="15" borderId="0" xfId="0" applyFill="1"/>
    <xf numFmtId="0" fontId="0" fillId="10" borderId="0" xfId="0" applyFill="1"/>
    <xf numFmtId="1" fontId="0" fillId="4" borderId="0" xfId="0" applyNumberFormat="1" applyFill="1"/>
    <xf numFmtId="169" fontId="0" fillId="4" borderId="0" xfId="0" applyNumberFormat="1" applyFill="1"/>
    <xf numFmtId="167" fontId="0" fillId="4" borderId="0" xfId="0" applyNumberFormat="1" applyFill="1"/>
    <xf numFmtId="164" fontId="0" fillId="4" borderId="0" xfId="0" applyNumberFormat="1" applyFill="1"/>
    <xf numFmtId="169" fontId="0" fillId="12" borderId="0" xfId="0" applyNumberFormat="1" applyFill="1"/>
    <xf numFmtId="167" fontId="0" fillId="12" borderId="0" xfId="0" applyNumberFormat="1" applyFill="1"/>
    <xf numFmtId="0" fontId="0" fillId="12" borderId="0" xfId="0" applyFill="1"/>
    <xf numFmtId="1" fontId="0" fillId="3" borderId="0" xfId="0" applyNumberFormat="1" applyFill="1"/>
    <xf numFmtId="169" fontId="0" fillId="3" borderId="0" xfId="0" applyNumberFormat="1" applyFill="1"/>
    <xf numFmtId="167" fontId="0" fillId="3" borderId="0" xfId="0" applyNumberFormat="1" applyFill="1"/>
    <xf numFmtId="164" fontId="0" fillId="3" borderId="0" xfId="0" applyNumberFormat="1" applyFill="1"/>
    <xf numFmtId="1" fontId="0" fillId="16" borderId="0" xfId="0" applyNumberFormat="1" applyFill="1"/>
    <xf numFmtId="169" fontId="0" fillId="16" borderId="0" xfId="0" applyNumberFormat="1" applyFill="1"/>
    <xf numFmtId="167" fontId="0" fillId="16" borderId="0" xfId="0" applyNumberFormat="1" applyFill="1"/>
    <xf numFmtId="164" fontId="0" fillId="16" borderId="0" xfId="0" applyNumberFormat="1" applyFill="1"/>
    <xf numFmtId="0" fontId="0" fillId="16" borderId="0" xfId="0" applyFill="1"/>
    <xf numFmtId="1" fontId="0" fillId="17" borderId="0" xfId="0" applyNumberFormat="1" applyFill="1"/>
    <xf numFmtId="169" fontId="0" fillId="17" borderId="0" xfId="0" applyNumberFormat="1" applyFill="1"/>
    <xf numFmtId="167" fontId="0" fillId="17" borderId="0" xfId="0" applyNumberFormat="1" applyFill="1"/>
    <xf numFmtId="164" fontId="0" fillId="17" borderId="0" xfId="0" applyNumberFormat="1" applyFill="1"/>
    <xf numFmtId="0" fontId="0" fillId="17" borderId="0" xfId="0" applyFill="1"/>
    <xf numFmtId="1" fontId="0" fillId="18" borderId="0" xfId="0" applyNumberFormat="1" applyFill="1"/>
    <xf numFmtId="169" fontId="0" fillId="18" borderId="0" xfId="0" applyNumberFormat="1" applyFill="1"/>
    <xf numFmtId="167" fontId="0" fillId="18" borderId="0" xfId="0" applyNumberFormat="1" applyFill="1"/>
    <xf numFmtId="164" fontId="0" fillId="18" borderId="0" xfId="0" applyNumberFormat="1" applyFill="1"/>
    <xf numFmtId="0" fontId="0" fillId="18" borderId="0" xfId="0" applyFill="1"/>
    <xf numFmtId="1" fontId="0" fillId="10" borderId="0" xfId="0" applyNumberFormat="1" applyFill="1"/>
    <xf numFmtId="169" fontId="0" fillId="10" borderId="0" xfId="0" applyNumberFormat="1" applyFill="1"/>
    <xf numFmtId="167" fontId="0" fillId="10" borderId="0" xfId="0" applyNumberFormat="1" applyFill="1"/>
    <xf numFmtId="164" fontId="0" fillId="10" borderId="0" xfId="0" applyNumberFormat="1" applyFill="1"/>
    <xf numFmtId="1" fontId="0" fillId="19" borderId="0" xfId="0" applyNumberFormat="1" applyFill="1"/>
    <xf numFmtId="0" fontId="0" fillId="19" borderId="0" xfId="0" applyFill="1"/>
    <xf numFmtId="167" fontId="0" fillId="19" borderId="0" xfId="0" applyNumberFormat="1" applyFill="1"/>
    <xf numFmtId="169" fontId="0" fillId="19" borderId="0" xfId="0" applyNumberFormat="1" applyFill="1"/>
    <xf numFmtId="164" fontId="0" fillId="19" borderId="0" xfId="0" applyNumberFormat="1" applyFill="1"/>
    <xf numFmtId="1" fontId="0" fillId="20" borderId="0" xfId="0" applyNumberFormat="1" applyFill="1"/>
    <xf numFmtId="0" fontId="0" fillId="20" borderId="0" xfId="0" applyFill="1"/>
    <xf numFmtId="167" fontId="0" fillId="20" borderId="0" xfId="0" applyNumberFormat="1" applyFill="1"/>
    <xf numFmtId="169" fontId="0" fillId="20" borderId="0" xfId="0" applyNumberFormat="1" applyFill="1"/>
    <xf numFmtId="164" fontId="0" fillId="20" borderId="0" xfId="0" applyNumberFormat="1" applyFill="1"/>
    <xf numFmtId="2" fontId="0" fillId="15" borderId="0" xfId="0" applyNumberFormat="1" applyFill="1"/>
    <xf numFmtId="2" fontId="0" fillId="0" borderId="0" xfId="0" applyNumberFormat="1"/>
    <xf numFmtId="0" fontId="33" fillId="0" borderId="0" xfId="0" applyFont="1" applyFill="1" applyBorder="1" applyAlignment="1">
      <alignment horizontal="center" vertical="center"/>
    </xf>
    <xf numFmtId="0" fontId="0" fillId="4" borderId="41" xfId="0" applyFill="1" applyBorder="1"/>
    <xf numFmtId="164" fontId="0" fillId="0" borderId="0" xfId="0" applyNumberFormat="1" applyBorder="1"/>
    <xf numFmtId="164" fontId="42" fillId="8" borderId="43" xfId="0" applyNumberFormat="1" applyFont="1" applyFill="1" applyBorder="1" applyAlignment="1">
      <alignment horizontal="center" vertical="center"/>
    </xf>
    <xf numFmtId="0" fontId="0" fillId="4" borderId="19" xfId="0" applyFill="1" applyBorder="1"/>
    <xf numFmtId="0" fontId="0" fillId="0" borderId="48" xfId="0" applyBorder="1"/>
    <xf numFmtId="3" fontId="36" fillId="0" borderId="0" xfId="0" applyNumberFormat="1" applyFont="1" applyBorder="1" applyAlignment="1">
      <alignment horizontal="center"/>
    </xf>
    <xf numFmtId="0" fontId="0" fillId="2" borderId="0" xfId="0" applyFill="1" applyBorder="1"/>
    <xf numFmtId="166" fontId="33" fillId="2" borderId="0" xfId="0" applyNumberFormat="1" applyFont="1" applyFill="1" applyBorder="1" applyAlignment="1">
      <alignment horizontal="center"/>
    </xf>
    <xf numFmtId="166" fontId="35" fillId="2" borderId="0" xfId="0" applyNumberFormat="1" applyFont="1" applyFill="1" applyBorder="1" applyAlignment="1">
      <alignment horizontal="center"/>
    </xf>
    <xf numFmtId="166" fontId="33" fillId="0" borderId="0" xfId="0" applyNumberFormat="1" applyFont="1" applyBorder="1" applyAlignment="1">
      <alignment horizontal="center"/>
    </xf>
    <xf numFmtId="166" fontId="35" fillId="5" borderId="0" xfId="0" applyNumberFormat="1" applyFont="1" applyFill="1" applyBorder="1" applyAlignment="1">
      <alignment horizontal="center"/>
    </xf>
    <xf numFmtId="0" fontId="0" fillId="8" borderId="0" xfId="0" applyFill="1" applyBorder="1"/>
    <xf numFmtId="4" fontId="34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2" fillId="0" borderId="0" xfId="0" applyFont="1" applyBorder="1"/>
    <xf numFmtId="3" fontId="33" fillId="0" borderId="0" xfId="0" applyNumberFormat="1" applyFont="1" applyBorder="1" applyAlignment="1">
      <alignment horizontal="center"/>
    </xf>
    <xf numFmtId="4" fontId="33" fillId="0" borderId="0" xfId="0" applyNumberFormat="1" applyFont="1" applyBorder="1" applyAlignment="1">
      <alignment horizontal="center"/>
    </xf>
    <xf numFmtId="0" fontId="27" fillId="7" borderId="0" xfId="0" applyFont="1" applyFill="1" applyBorder="1" applyAlignment="1"/>
    <xf numFmtId="1" fontId="48" fillId="26" borderId="50" xfId="4" applyNumberFormat="1" applyBorder="1" applyAlignment="1">
      <alignment horizontal="center"/>
    </xf>
    <xf numFmtId="2" fontId="48" fillId="26" borderId="50" xfId="4" applyNumberFormat="1" applyBorder="1" applyAlignment="1">
      <alignment horizontal="center"/>
    </xf>
    <xf numFmtId="1" fontId="48" fillId="26" borderId="51" xfId="4" applyNumberFormat="1" applyBorder="1" applyAlignment="1">
      <alignment horizontal="center"/>
    </xf>
    <xf numFmtId="0" fontId="48" fillId="26" borderId="52" xfId="4" applyBorder="1"/>
    <xf numFmtId="1" fontId="48" fillId="26" borderId="53" xfId="4" applyNumberFormat="1" applyBorder="1" applyAlignment="1">
      <alignment horizontal="center"/>
    </xf>
    <xf numFmtId="2" fontId="48" fillId="26" borderId="53" xfId="4" applyNumberFormat="1" applyBorder="1" applyAlignment="1">
      <alignment horizontal="center"/>
    </xf>
    <xf numFmtId="1" fontId="48" fillId="26" borderId="54" xfId="4" applyNumberFormat="1" applyBorder="1" applyAlignment="1">
      <alignment horizontal="center"/>
    </xf>
    <xf numFmtId="0" fontId="48" fillId="26" borderId="55" xfId="4" applyBorder="1"/>
    <xf numFmtId="1" fontId="48" fillId="26" borderId="56" xfId="4" applyNumberFormat="1" applyBorder="1" applyAlignment="1">
      <alignment horizontal="center"/>
    </xf>
    <xf numFmtId="2" fontId="48" fillId="26" borderId="56" xfId="4" applyNumberFormat="1" applyBorder="1" applyAlignment="1">
      <alignment horizontal="center"/>
    </xf>
    <xf numFmtId="1" fontId="48" fillId="26" borderId="57" xfId="4" applyNumberFormat="1" applyBorder="1" applyAlignment="1">
      <alignment horizontal="center"/>
    </xf>
    <xf numFmtId="165" fontId="48" fillId="26" borderId="58" xfId="4" applyNumberFormat="1" applyBorder="1" applyAlignment="1">
      <alignment horizontal="center"/>
    </xf>
    <xf numFmtId="0" fontId="48" fillId="26" borderId="50" xfId="4" applyBorder="1" applyAlignment="1">
      <alignment horizontal="center"/>
    </xf>
    <xf numFmtId="165" fontId="48" fillId="26" borderId="59" xfId="4" applyNumberFormat="1" applyBorder="1" applyAlignment="1">
      <alignment horizontal="center"/>
    </xf>
    <xf numFmtId="0" fontId="48" fillId="26" borderId="53" xfId="4" applyBorder="1" applyAlignment="1">
      <alignment horizontal="center"/>
    </xf>
    <xf numFmtId="165" fontId="48" fillId="26" borderId="60" xfId="4" applyNumberFormat="1" applyBorder="1" applyAlignment="1">
      <alignment horizontal="center"/>
    </xf>
    <xf numFmtId="0" fontId="48" fillId="26" borderId="56" xfId="4" applyBorder="1" applyAlignment="1">
      <alignment horizontal="center"/>
    </xf>
    <xf numFmtId="0" fontId="48" fillId="26" borderId="61" xfId="4" applyBorder="1"/>
    <xf numFmtId="1" fontId="48" fillId="26" borderId="62" xfId="4" applyNumberFormat="1" applyBorder="1" applyAlignment="1">
      <alignment horizontal="center"/>
    </xf>
    <xf numFmtId="0" fontId="48" fillId="26" borderId="62" xfId="4" applyBorder="1" applyAlignment="1">
      <alignment horizontal="center"/>
    </xf>
    <xf numFmtId="1" fontId="48" fillId="26" borderId="63" xfId="4" applyNumberFormat="1" applyBorder="1" applyAlignment="1">
      <alignment horizontal="center"/>
    </xf>
    <xf numFmtId="165" fontId="48" fillId="26" borderId="64" xfId="4" applyNumberFormat="1" applyBorder="1" applyAlignment="1">
      <alignment horizontal="center"/>
    </xf>
    <xf numFmtId="0" fontId="48" fillId="26" borderId="53" xfId="4" applyBorder="1" applyAlignment="1" applyProtection="1">
      <alignment horizontal="center"/>
    </xf>
    <xf numFmtId="165" fontId="48" fillId="26" borderId="65" xfId="4" applyNumberFormat="1" applyBorder="1" applyAlignment="1">
      <alignment horizontal="center"/>
    </xf>
    <xf numFmtId="1" fontId="48" fillId="26" borderId="66" xfId="4" applyNumberFormat="1" applyBorder="1" applyAlignment="1">
      <alignment horizontal="center"/>
    </xf>
    <xf numFmtId="0" fontId="48" fillId="26" borderId="67" xfId="4" applyBorder="1"/>
    <xf numFmtId="1" fontId="48" fillId="26" borderId="68" xfId="4" applyNumberFormat="1" applyBorder="1" applyAlignment="1">
      <alignment horizontal="center"/>
    </xf>
    <xf numFmtId="0" fontId="48" fillId="26" borderId="68" xfId="4" applyBorder="1" applyAlignment="1">
      <alignment horizontal="center"/>
    </xf>
    <xf numFmtId="0" fontId="48" fillId="26" borderId="24" xfId="4" applyBorder="1" applyAlignment="1">
      <alignment horizontal="center"/>
    </xf>
    <xf numFmtId="0" fontId="48" fillId="26" borderId="69" xfId="4" applyBorder="1" applyAlignment="1">
      <alignment horizontal="center"/>
    </xf>
    <xf numFmtId="2" fontId="29" fillId="4" borderId="70" xfId="0" applyNumberFormat="1" applyFont="1" applyFill="1" applyBorder="1" applyAlignment="1">
      <alignment horizontal="center"/>
    </xf>
    <xf numFmtId="164" fontId="41" fillId="9" borderId="31" xfId="0" applyNumberFormat="1" applyFont="1" applyFill="1" applyBorder="1" applyAlignment="1" applyProtection="1">
      <alignment horizontal="center"/>
      <protection hidden="1"/>
    </xf>
    <xf numFmtId="2" fontId="48" fillId="26" borderId="0" xfId="4" applyNumberFormat="1" applyBorder="1" applyAlignment="1" applyProtection="1">
      <alignment horizontal="center"/>
      <protection hidden="1"/>
    </xf>
    <xf numFmtId="164" fontId="48" fillId="26" borderId="0" xfId="4" applyNumberFormat="1" applyBorder="1" applyAlignment="1" applyProtection="1">
      <alignment horizontal="center"/>
      <protection hidden="1"/>
    </xf>
    <xf numFmtId="0" fontId="53" fillId="29" borderId="6" xfId="0" applyFont="1" applyFill="1" applyBorder="1" applyAlignment="1">
      <alignment horizontal="center" textRotation="255"/>
    </xf>
    <xf numFmtId="0" fontId="53" fillId="29" borderId="4" xfId="0" applyFont="1" applyFill="1" applyBorder="1" applyAlignment="1">
      <alignment horizontal="center" wrapText="1"/>
    </xf>
    <xf numFmtId="0" fontId="53" fillId="29" borderId="32" xfId="0" applyFont="1" applyFill="1" applyBorder="1" applyAlignment="1">
      <alignment horizontal="center" wrapText="1"/>
    </xf>
    <xf numFmtId="0" fontId="54" fillId="29" borderId="71" xfId="0" applyFont="1" applyFill="1" applyBorder="1" applyAlignment="1">
      <alignment horizontal="center" wrapText="1"/>
    </xf>
    <xf numFmtId="2" fontId="29" fillId="4" borderId="72" xfId="0" applyNumberFormat="1" applyFont="1" applyFill="1" applyBorder="1" applyAlignment="1">
      <alignment horizontal="center"/>
    </xf>
    <xf numFmtId="2" fontId="29" fillId="4" borderId="73" xfId="0" applyNumberFormat="1" applyFont="1" applyFill="1" applyBorder="1" applyAlignment="1">
      <alignment horizontal="center"/>
    </xf>
    <xf numFmtId="0" fontId="55" fillId="23" borderId="7" xfId="1" applyFont="1" applyBorder="1" applyAlignment="1">
      <alignment horizontal="center" vertical="center" wrapText="1"/>
    </xf>
    <xf numFmtId="0" fontId="56" fillId="30" borderId="0" xfId="1" applyFont="1" applyFill="1" applyBorder="1" applyAlignment="1">
      <alignment horizontal="center" vertical="center"/>
    </xf>
    <xf numFmtId="0" fontId="55" fillId="23" borderId="91" xfId="1" applyFont="1" applyBorder="1" applyAlignment="1">
      <alignment horizontal="center" vertical="center" wrapText="1"/>
    </xf>
    <xf numFmtId="0" fontId="58" fillId="30" borderId="0" xfId="0" applyFont="1" applyFill="1" applyBorder="1" applyAlignment="1">
      <alignment horizontal="right" vertical="center"/>
    </xf>
    <xf numFmtId="0" fontId="55" fillId="23" borderId="5" xfId="1" applyFont="1" applyBorder="1" applyAlignment="1">
      <alignment horizontal="center" vertical="center" wrapText="1"/>
    </xf>
    <xf numFmtId="2" fontId="55" fillId="23" borderId="0" xfId="1" applyNumberFormat="1" applyFont="1" applyBorder="1" applyAlignment="1" applyProtection="1">
      <alignment horizontal="center" vertical="center"/>
      <protection hidden="1"/>
    </xf>
    <xf numFmtId="164" fontId="55" fillId="23" borderId="0" xfId="1" applyNumberFormat="1" applyFont="1" applyBorder="1" applyAlignment="1" applyProtection="1">
      <alignment horizontal="center" vertical="center"/>
      <protection hidden="1"/>
    </xf>
    <xf numFmtId="2" fontId="48" fillId="26" borderId="53" xfId="4" applyNumberFormat="1" applyBorder="1" applyAlignment="1">
      <alignment horizontal="center" vertical="center"/>
    </xf>
    <xf numFmtId="4" fontId="59" fillId="30" borderId="25" xfId="5" applyNumberFormat="1" applyFont="1" applyFill="1" applyBorder="1" applyAlignment="1" applyProtection="1">
      <alignment horizontal="center" vertical="center"/>
      <protection hidden="1"/>
    </xf>
    <xf numFmtId="0" fontId="56" fillId="30" borderId="23" xfId="5" applyFont="1" applyFill="1" applyBorder="1" applyAlignment="1">
      <alignment horizontal="center" wrapText="1"/>
    </xf>
    <xf numFmtId="0" fontId="56" fillId="30" borderId="0" xfId="5" applyFont="1" applyFill="1" applyBorder="1" applyAlignment="1">
      <alignment horizontal="center" wrapText="1"/>
    </xf>
    <xf numFmtId="4" fontId="59" fillId="30" borderId="45" xfId="5" applyNumberFormat="1" applyFont="1" applyFill="1" applyBorder="1" applyAlignment="1" applyProtection="1">
      <alignment horizontal="center" vertical="center"/>
      <protection hidden="1"/>
    </xf>
    <xf numFmtId="0" fontId="56" fillId="31" borderId="0" xfId="5" applyFont="1" applyFill="1" applyBorder="1" applyAlignment="1">
      <alignment horizontal="center" vertical="center" wrapText="1"/>
    </xf>
    <xf numFmtId="0" fontId="34" fillId="0" borderId="0" xfId="0" applyFont="1"/>
    <xf numFmtId="0" fontId="55" fillId="32" borderId="0" xfId="5" applyFont="1" applyFill="1" applyBorder="1" applyAlignment="1">
      <alignment horizontal="center" vertical="center" wrapText="1"/>
    </xf>
    <xf numFmtId="0" fontId="60" fillId="33" borderId="0" xfId="5" applyFont="1" applyFill="1" applyBorder="1" applyAlignment="1">
      <alignment horizontal="center" vertical="center" wrapText="1"/>
    </xf>
    <xf numFmtId="0" fontId="61" fillId="34" borderId="0" xfId="5" applyFont="1" applyFill="1" applyBorder="1" applyAlignment="1">
      <alignment horizontal="center" vertical="center" wrapText="1"/>
    </xf>
    <xf numFmtId="0" fontId="61" fillId="34" borderId="93" xfId="5" applyFont="1" applyFill="1" applyBorder="1" applyAlignment="1">
      <alignment horizontal="center" vertical="center" wrapText="1"/>
    </xf>
    <xf numFmtId="164" fontId="62" fillId="32" borderId="0" xfId="5" applyNumberFormat="1" applyFont="1" applyFill="1" applyBorder="1" applyAlignment="1" applyProtection="1">
      <alignment horizontal="center" vertical="center"/>
      <protection hidden="1"/>
    </xf>
    <xf numFmtId="2" fontId="62" fillId="32" borderId="0" xfId="5" applyNumberFormat="1" applyFont="1" applyFill="1" applyBorder="1" applyAlignment="1" applyProtection="1">
      <alignment horizontal="center" vertical="center"/>
      <protection hidden="1"/>
    </xf>
    <xf numFmtId="164" fontId="63" fillId="33" borderId="0" xfId="5" applyNumberFormat="1" applyFont="1" applyFill="1" applyBorder="1" applyAlignment="1" applyProtection="1">
      <alignment horizontal="center" vertical="center"/>
      <protection hidden="1"/>
    </xf>
    <xf numFmtId="2" fontId="63" fillId="33" borderId="0" xfId="5" applyNumberFormat="1" applyFont="1" applyFill="1" applyBorder="1" applyAlignment="1" applyProtection="1">
      <alignment horizontal="center" vertical="center"/>
      <protection hidden="1"/>
    </xf>
    <xf numFmtId="164" fontId="64" fillId="34" borderId="0" xfId="5" applyNumberFormat="1" applyFont="1" applyFill="1" applyBorder="1" applyAlignment="1" applyProtection="1">
      <alignment horizontal="center" vertical="center"/>
      <protection hidden="1"/>
    </xf>
    <xf numFmtId="2" fontId="64" fillId="34" borderId="0" xfId="5" applyNumberFormat="1" applyFont="1" applyFill="1" applyBorder="1" applyAlignment="1" applyProtection="1">
      <alignment horizontal="center" vertical="center"/>
      <protection hidden="1"/>
    </xf>
    <xf numFmtId="164" fontId="65" fillId="31" borderId="0" xfId="5" applyNumberFormat="1" applyFont="1" applyFill="1" applyBorder="1" applyAlignment="1" applyProtection="1">
      <alignment horizontal="center" vertical="center"/>
      <protection hidden="1"/>
    </xf>
    <xf numFmtId="2" fontId="65" fillId="31" borderId="0" xfId="5" applyNumberFormat="1" applyFont="1" applyFill="1" applyBorder="1" applyAlignment="1" applyProtection="1">
      <alignment horizontal="center" vertical="center"/>
      <protection hidden="1"/>
    </xf>
    <xf numFmtId="0" fontId="55" fillId="32" borderId="0" xfId="5" applyFont="1" applyFill="1" applyBorder="1" applyAlignment="1">
      <alignment horizontal="center" vertical="top" wrapText="1"/>
    </xf>
    <xf numFmtId="0" fontId="66" fillId="35" borderId="74" xfId="3" applyFont="1" applyFill="1" applyBorder="1" applyAlignment="1">
      <alignment horizontal="center" vertical="center" wrapText="1"/>
    </xf>
    <xf numFmtId="0" fontId="66" fillId="35" borderId="75" xfId="3" applyFont="1" applyFill="1" applyBorder="1" applyAlignment="1">
      <alignment horizontal="center" vertical="center" wrapText="1"/>
    </xf>
    <xf numFmtId="4" fontId="55" fillId="35" borderId="76" xfId="3" applyNumberFormat="1" applyFont="1" applyFill="1" applyBorder="1" applyAlignment="1" applyProtection="1">
      <alignment horizontal="center" vertical="center"/>
      <protection hidden="1"/>
    </xf>
    <xf numFmtId="4" fontId="55" fillId="35" borderId="77" xfId="3" applyNumberFormat="1" applyFont="1" applyFill="1" applyBorder="1" applyAlignment="1" applyProtection="1">
      <alignment horizontal="center" vertical="center"/>
      <protection hidden="1"/>
    </xf>
    <xf numFmtId="4" fontId="55" fillId="35" borderId="78" xfId="3" applyNumberFormat="1" applyFont="1" applyFill="1" applyBorder="1" applyAlignment="1" applyProtection="1">
      <alignment horizontal="center" vertical="center"/>
      <protection hidden="1"/>
    </xf>
    <xf numFmtId="4" fontId="55" fillId="35" borderId="79" xfId="3" applyNumberFormat="1" applyFont="1" applyFill="1" applyBorder="1" applyAlignment="1" applyProtection="1">
      <alignment horizontal="center" vertical="center"/>
      <protection hidden="1"/>
    </xf>
    <xf numFmtId="4" fontId="55" fillId="35" borderId="80" xfId="3" applyNumberFormat="1" applyFont="1" applyFill="1" applyBorder="1" applyAlignment="1" applyProtection="1">
      <alignment horizontal="center" vertical="center"/>
      <protection hidden="1"/>
    </xf>
    <xf numFmtId="4" fontId="55" fillId="35" borderId="81" xfId="3" applyNumberFormat="1" applyFont="1" applyFill="1" applyBorder="1" applyAlignment="1" applyProtection="1">
      <alignment horizontal="center" vertical="center"/>
      <protection hidden="1"/>
    </xf>
    <xf numFmtId="1" fontId="55" fillId="23" borderId="0" xfId="1" applyNumberFormat="1" applyFont="1" applyBorder="1" applyAlignment="1" applyProtection="1">
      <alignment horizontal="center" vertical="center"/>
      <protection hidden="1"/>
    </xf>
    <xf numFmtId="164" fontId="65" fillId="30" borderId="94" xfId="5" applyNumberFormat="1" applyFont="1" applyFill="1" applyBorder="1" applyAlignment="1" applyProtection="1">
      <alignment horizontal="center" vertical="center"/>
      <protection hidden="1"/>
    </xf>
    <xf numFmtId="0" fontId="66" fillId="35" borderId="82" xfId="3" applyFont="1" applyFill="1" applyBorder="1" applyAlignment="1">
      <alignment horizontal="center" vertical="center" wrapText="1"/>
    </xf>
    <xf numFmtId="0" fontId="55" fillId="35" borderId="27" xfId="3" applyFont="1" applyFill="1" applyBorder="1" applyAlignment="1" applyProtection="1">
      <alignment horizontal="center" vertical="center"/>
      <protection hidden="1"/>
    </xf>
    <xf numFmtId="4" fontId="55" fillId="35" borderId="26" xfId="3" applyNumberFormat="1" applyFont="1" applyFill="1" applyBorder="1" applyAlignment="1" applyProtection="1">
      <alignment horizontal="center" vertical="center"/>
      <protection hidden="1"/>
    </xf>
    <xf numFmtId="1" fontId="55" fillId="35" borderId="26" xfId="3" applyNumberFormat="1" applyFont="1" applyFill="1" applyBorder="1" applyAlignment="1" applyProtection="1">
      <alignment horizontal="center" vertical="center"/>
      <protection hidden="1"/>
    </xf>
    <xf numFmtId="2" fontId="55" fillId="35" borderId="26" xfId="3" applyNumberFormat="1" applyFont="1" applyFill="1" applyBorder="1" applyAlignment="1" applyProtection="1">
      <alignment horizontal="center" vertical="center"/>
      <protection hidden="1"/>
    </xf>
    <xf numFmtId="3" fontId="57" fillId="30" borderId="0" xfId="5" applyNumberFormat="1" applyFont="1" applyFill="1" applyBorder="1" applyAlignment="1" applyProtection="1">
      <alignment horizontal="center" vertical="center"/>
      <protection hidden="1"/>
    </xf>
    <xf numFmtId="165" fontId="55" fillId="23" borderId="0" xfId="1" applyNumberFormat="1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left" vertical="center"/>
    </xf>
    <xf numFmtId="0" fontId="67" fillId="29" borderId="74" xfId="0" applyFont="1" applyFill="1" applyBorder="1" applyAlignment="1">
      <alignment horizontal="center" vertical="center" wrapText="1"/>
    </xf>
    <xf numFmtId="0" fontId="56" fillId="30" borderId="96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 wrapText="1"/>
    </xf>
    <xf numFmtId="10" fontId="55" fillId="23" borderId="0" xfId="1" applyNumberFormat="1" applyFont="1" applyBorder="1" applyAlignment="1">
      <alignment horizontal="center" vertical="center"/>
    </xf>
    <xf numFmtId="2" fontId="48" fillId="26" borderId="50" xfId="4" applyNumberFormat="1" applyBorder="1" applyAlignment="1">
      <alignment horizontal="center" vertical="center"/>
    </xf>
    <xf numFmtId="2" fontId="48" fillId="26" borderId="97" xfId="4" applyNumberFormat="1" applyBorder="1" applyAlignment="1">
      <alignment horizontal="center" vertical="center"/>
    </xf>
    <xf numFmtId="0" fontId="57" fillId="24" borderId="0" xfId="2" applyFont="1" applyBorder="1" applyAlignment="1">
      <alignment horizontal="right" vertical="center"/>
    </xf>
    <xf numFmtId="0" fontId="70" fillId="29" borderId="82" xfId="0" applyFont="1" applyFill="1" applyBorder="1" applyAlignment="1">
      <alignment horizontal="center" vertical="center"/>
    </xf>
    <xf numFmtId="0" fontId="70" fillId="29" borderId="74" xfId="0" applyFont="1" applyFill="1" applyBorder="1" applyAlignment="1">
      <alignment horizontal="center" vertical="center"/>
    </xf>
    <xf numFmtId="0" fontId="70" fillId="29" borderId="74" xfId="0" applyFont="1" applyFill="1" applyBorder="1" applyAlignment="1">
      <alignment horizontal="center" vertical="center" wrapText="1"/>
    </xf>
    <xf numFmtId="0" fontId="70" fillId="29" borderId="98" xfId="0" applyFont="1" applyFill="1" applyBorder="1" applyAlignment="1">
      <alignment horizontal="center" vertical="center" wrapText="1"/>
    </xf>
    <xf numFmtId="0" fontId="71" fillId="23" borderId="99" xfId="1" applyFont="1" applyBorder="1" applyAlignment="1">
      <alignment horizontal="center" vertical="center" wrapText="1"/>
    </xf>
    <xf numFmtId="0" fontId="71" fillId="23" borderId="100" xfId="1" applyFont="1" applyBorder="1" applyAlignment="1">
      <alignment horizontal="center" vertical="center" wrapText="1"/>
    </xf>
    <xf numFmtId="0" fontId="71" fillId="23" borderId="101" xfId="1" applyFont="1" applyBorder="1" applyAlignment="1">
      <alignment horizontal="center" vertical="center" wrapText="1"/>
    </xf>
    <xf numFmtId="0" fontId="72" fillId="30" borderId="102" xfId="0" applyFont="1" applyFill="1" applyBorder="1" applyAlignment="1">
      <alignment horizontal="center" vertical="center" wrapText="1"/>
    </xf>
    <xf numFmtId="0" fontId="72" fillId="30" borderId="103" xfId="5" applyFont="1" applyFill="1" applyBorder="1" applyAlignment="1">
      <alignment horizontal="center" vertical="center" wrapText="1"/>
    </xf>
    <xf numFmtId="0" fontId="74" fillId="28" borderId="0" xfId="6" applyFont="1" applyAlignment="1">
      <alignment horizontal="center" vertical="center"/>
    </xf>
    <xf numFmtId="0" fontId="75" fillId="29" borderId="74" xfId="0" applyFont="1" applyFill="1" applyBorder="1" applyAlignment="1">
      <alignment horizontal="center" vertical="center" wrapText="1"/>
    </xf>
    <xf numFmtId="0" fontId="34" fillId="0" borderId="0" xfId="0" applyFont="1" applyBorder="1"/>
    <xf numFmtId="0" fontId="0" fillId="40" borderId="0" xfId="0" applyFill="1"/>
    <xf numFmtId="0" fontId="0" fillId="40" borderId="33" xfId="0" applyFill="1" applyBorder="1" applyAlignment="1"/>
    <xf numFmtId="0" fontId="0" fillId="40" borderId="34" xfId="0" applyFill="1" applyBorder="1" applyAlignment="1"/>
    <xf numFmtId="0" fontId="0" fillId="40" borderId="36" xfId="0" applyFill="1" applyBorder="1" applyAlignment="1"/>
    <xf numFmtId="0" fontId="14" fillId="40" borderId="0" xfId="0" applyFont="1" applyFill="1" applyBorder="1" applyAlignment="1">
      <alignment horizontal="right"/>
    </xf>
    <xf numFmtId="0" fontId="0" fillId="40" borderId="0" xfId="0" applyFill="1" applyBorder="1"/>
    <xf numFmtId="0" fontId="9" fillId="40" borderId="0" xfId="0" applyFont="1" applyFill="1" applyBorder="1"/>
    <xf numFmtId="0" fontId="0" fillId="40" borderId="35" xfId="0" applyFill="1" applyBorder="1"/>
    <xf numFmtId="0" fontId="13" fillId="40" borderId="0" xfId="0" applyFont="1" applyFill="1" applyBorder="1"/>
    <xf numFmtId="0" fontId="0" fillId="40" borderId="36" xfId="0" applyFill="1" applyBorder="1"/>
    <xf numFmtId="0" fontId="0" fillId="40" borderId="38" xfId="0" applyFill="1" applyBorder="1"/>
    <xf numFmtId="0" fontId="0" fillId="40" borderId="37" xfId="0" applyFill="1" applyBorder="1"/>
    <xf numFmtId="0" fontId="19" fillId="40" borderId="37" xfId="0" applyFont="1" applyFill="1" applyBorder="1" applyAlignment="1" applyProtection="1">
      <protection locked="0"/>
    </xf>
    <xf numFmtId="14" fontId="20" fillId="40" borderId="37" xfId="0" applyNumberFormat="1" applyFont="1" applyFill="1" applyBorder="1" applyAlignment="1" applyProtection="1"/>
    <xf numFmtId="0" fontId="0" fillId="40" borderId="40" xfId="0" applyFill="1" applyBorder="1"/>
    <xf numFmtId="0" fontId="0" fillId="40" borderId="39" xfId="0" applyFill="1" applyBorder="1"/>
    <xf numFmtId="0" fontId="0" fillId="40" borderId="3" xfId="0" applyFill="1" applyBorder="1"/>
    <xf numFmtId="0" fontId="0" fillId="40" borderId="20" xfId="0" applyFill="1" applyBorder="1"/>
    <xf numFmtId="0" fontId="0" fillId="40" borderId="24" xfId="0" applyFill="1" applyBorder="1"/>
    <xf numFmtId="0" fontId="0" fillId="40" borderId="22" xfId="0" applyFill="1" applyBorder="1"/>
    <xf numFmtId="164" fontId="34" fillId="0" borderId="0" xfId="0" applyNumberFormat="1" applyFont="1" applyBorder="1"/>
    <xf numFmtId="2" fontId="34" fillId="0" borderId="0" xfId="0" applyNumberFormat="1" applyFont="1"/>
    <xf numFmtId="164" fontId="34" fillId="0" borderId="0" xfId="0" applyNumberFormat="1" applyFont="1"/>
    <xf numFmtId="0" fontId="74" fillId="28" borderId="0" xfId="6" applyFont="1" applyAlignment="1">
      <alignment horizontal="center" vertical="center"/>
    </xf>
    <xf numFmtId="0" fontId="14" fillId="40" borderId="0" xfId="0" applyFont="1" applyFill="1" applyBorder="1" applyAlignment="1"/>
    <xf numFmtId="0" fontId="43" fillId="40" borderId="0" xfId="0" applyFont="1" applyFill="1" applyBorder="1" applyAlignment="1">
      <alignment horizontal="center" vertical="center"/>
    </xf>
    <xf numFmtId="0" fontId="65" fillId="40" borderId="0" xfId="1" applyFont="1" applyFill="1" applyBorder="1" applyAlignment="1">
      <alignment horizontal="right" vertical="center"/>
    </xf>
    <xf numFmtId="0" fontId="57" fillId="40" borderId="0" xfId="1" applyFont="1" applyFill="1" applyBorder="1" applyAlignment="1">
      <alignment horizontal="right" vertical="center"/>
    </xf>
    <xf numFmtId="22" fontId="38" fillId="40" borderId="0" xfId="0" applyNumberFormat="1" applyFont="1" applyFill="1" applyBorder="1" applyAlignment="1" applyProtection="1">
      <protection locked="0"/>
    </xf>
    <xf numFmtId="14" fontId="19" fillId="40" borderId="0" xfId="0" applyNumberFormat="1" applyFont="1" applyFill="1" applyBorder="1" applyAlignment="1" applyProtection="1">
      <protection locked="0"/>
    </xf>
    <xf numFmtId="0" fontId="52" fillId="40" borderId="0" xfId="1" applyFont="1" applyFill="1" applyBorder="1" applyAlignment="1">
      <alignment horizontal="right"/>
    </xf>
    <xf numFmtId="0" fontId="33" fillId="40" borderId="0" xfId="0" applyFont="1" applyFill="1" applyBorder="1" applyAlignment="1">
      <alignment horizontal="center" vertical="center"/>
    </xf>
    <xf numFmtId="0" fontId="58" fillId="40" borderId="0" xfId="0" applyFont="1" applyFill="1" applyBorder="1" applyAlignment="1">
      <alignment horizontal="right" vertical="center"/>
    </xf>
    <xf numFmtId="164" fontId="0" fillId="40" borderId="0" xfId="0" applyNumberFormat="1" applyFill="1"/>
    <xf numFmtId="0" fontId="0" fillId="40" borderId="92" xfId="0" applyFill="1" applyBorder="1"/>
    <xf numFmtId="0" fontId="50" fillId="40" borderId="0" xfId="1" applyFont="1" applyFill="1" applyBorder="1" applyAlignment="1">
      <alignment vertical="center" wrapText="1"/>
    </xf>
    <xf numFmtId="0" fontId="0" fillId="40" borderId="0" xfId="0" applyFill="1" applyAlignment="1"/>
    <xf numFmtId="0" fontId="14" fillId="40" borderId="0" xfId="0" applyFont="1" applyFill="1" applyBorder="1" applyAlignment="1">
      <alignment horizontal="left"/>
    </xf>
    <xf numFmtId="0" fontId="0" fillId="40" borderId="0" xfId="0" applyFill="1" applyBorder="1" applyAlignment="1"/>
    <xf numFmtId="0" fontId="0" fillId="40" borderId="113" xfId="0" applyFill="1" applyBorder="1"/>
    <xf numFmtId="0" fontId="0" fillId="40" borderId="117" xfId="0" applyFill="1" applyBorder="1" applyAlignment="1"/>
    <xf numFmtId="0" fontId="0" fillId="40" borderId="118" xfId="0" applyFill="1" applyBorder="1" applyAlignment="1"/>
    <xf numFmtId="0" fontId="0" fillId="40" borderId="119" xfId="0" applyFill="1" applyBorder="1" applyAlignment="1"/>
    <xf numFmtId="0" fontId="17" fillId="40" borderId="0" xfId="0" applyFont="1" applyFill="1" applyBorder="1" applyAlignment="1"/>
    <xf numFmtId="0" fontId="0" fillId="40" borderId="95" xfId="0" applyFill="1" applyBorder="1" applyAlignment="1">
      <alignment horizontal="left" vertical="center"/>
    </xf>
    <xf numFmtId="0" fontId="0" fillId="40" borderId="0" xfId="0" applyFill="1" applyBorder="1" applyAlignment="1">
      <alignment horizontal="left" vertical="center"/>
    </xf>
    <xf numFmtId="0" fontId="18" fillId="40" borderId="0" xfId="0" applyFont="1" applyFill="1" applyBorder="1" applyAlignment="1">
      <alignment horizontal="left" vertical="center"/>
    </xf>
    <xf numFmtId="22" fontId="19" fillId="40" borderId="113" xfId="0" applyNumberFormat="1" applyFont="1" applyFill="1" applyBorder="1" applyAlignment="1" applyProtection="1">
      <protection locked="0"/>
    </xf>
    <xf numFmtId="22" fontId="19" fillId="40" borderId="0" xfId="0" applyNumberFormat="1" applyFont="1" applyFill="1" applyBorder="1" applyAlignment="1" applyProtection="1">
      <protection locked="0"/>
    </xf>
    <xf numFmtId="14" fontId="20" fillId="40" borderId="113" xfId="0" applyNumberFormat="1" applyFont="1" applyFill="1" applyBorder="1" applyAlignment="1" applyProtection="1"/>
    <xf numFmtId="14" fontId="20" fillId="40" borderId="0" xfId="0" applyNumberFormat="1" applyFont="1" applyFill="1" applyBorder="1" applyAlignment="1" applyProtection="1"/>
    <xf numFmtId="0" fontId="0" fillId="40" borderId="113" xfId="0" applyFill="1" applyBorder="1" applyAlignment="1">
      <alignment horizontal="left" vertical="center"/>
    </xf>
    <xf numFmtId="0" fontId="0" fillId="40" borderId="114" xfId="0" applyFill="1" applyBorder="1"/>
    <xf numFmtId="0" fontId="0" fillId="40" borderId="0" xfId="0" applyFill="1" applyAlignment="1">
      <alignment horizontal="left" vertical="center"/>
    </xf>
    <xf numFmtId="0" fontId="73" fillId="40" borderId="0" xfId="6" applyFont="1" applyFill="1" applyAlignment="1">
      <alignment horizontal="center" vertical="center"/>
    </xf>
    <xf numFmtId="0" fontId="0" fillId="40" borderId="115" xfId="0" applyFill="1" applyBorder="1"/>
    <xf numFmtId="0" fontId="0" fillId="40" borderId="116" xfId="0" applyFill="1" applyBorder="1"/>
    <xf numFmtId="0" fontId="60" fillId="39" borderId="111" xfId="1" applyFont="1" applyFill="1" applyBorder="1" applyAlignment="1">
      <alignment horizontal="center" vertical="center" wrapText="1"/>
    </xf>
    <xf numFmtId="0" fontId="60" fillId="33" borderId="93" xfId="5" applyFont="1" applyFill="1" applyBorder="1" applyAlignment="1">
      <alignment horizontal="center" vertical="center" wrapText="1"/>
    </xf>
    <xf numFmtId="0" fontId="71" fillId="23" borderId="120" xfId="1" applyFont="1" applyBorder="1" applyAlignment="1">
      <alignment horizontal="center" vertical="center" wrapText="1"/>
    </xf>
    <xf numFmtId="0" fontId="57" fillId="24" borderId="0" xfId="2" applyFont="1" applyBorder="1" applyAlignment="1">
      <alignment horizontal="center" vertical="center"/>
    </xf>
    <xf numFmtId="0" fontId="71" fillId="23" borderId="122" xfId="1" applyFont="1" applyBorder="1" applyAlignment="1">
      <alignment horizontal="center" vertical="center" wrapText="1"/>
    </xf>
    <xf numFmtId="0" fontId="0" fillId="40" borderId="121" xfId="0" applyFill="1" applyBorder="1" applyAlignment="1">
      <alignment horizontal="left" vertical="center"/>
    </xf>
    <xf numFmtId="0" fontId="78" fillId="40" borderId="0" xfId="0" applyFont="1" applyFill="1" applyBorder="1"/>
    <xf numFmtId="3" fontId="55" fillId="35" borderId="77" xfId="3" applyNumberFormat="1" applyFont="1" applyFill="1" applyBorder="1" applyAlignment="1" applyProtection="1">
      <alignment horizontal="center" vertical="center"/>
      <protection hidden="1"/>
    </xf>
    <xf numFmtId="0" fontId="74" fillId="28" borderId="0" xfId="6" applyFont="1" applyAlignment="1">
      <alignment horizontal="center" vertical="center"/>
    </xf>
    <xf numFmtId="0" fontId="56" fillId="30" borderId="125" xfId="0" applyFont="1" applyFill="1" applyBorder="1" applyAlignment="1">
      <alignment horizontal="center" vertical="center"/>
    </xf>
    <xf numFmtId="0" fontId="56" fillId="30" borderId="113" xfId="0" applyFont="1" applyFill="1" applyBorder="1" applyAlignment="1">
      <alignment horizontal="center" vertical="center" wrapText="1"/>
    </xf>
    <xf numFmtId="2" fontId="48" fillId="26" borderId="123" xfId="4" applyNumberFormat="1" applyBorder="1" applyAlignment="1">
      <alignment horizontal="center" vertical="center"/>
    </xf>
    <xf numFmtId="0" fontId="56" fillId="30" borderId="113" xfId="0" applyFont="1" applyFill="1" applyBorder="1" applyAlignment="1">
      <alignment horizontal="center" vertical="center"/>
    </xf>
    <xf numFmtId="2" fontId="48" fillId="26" borderId="124" xfId="4" applyNumberFormat="1" applyBorder="1" applyAlignment="1">
      <alignment horizontal="center" vertical="center"/>
    </xf>
    <xf numFmtId="0" fontId="56" fillId="30" borderId="125" xfId="0" applyFont="1" applyFill="1" applyBorder="1" applyAlignment="1">
      <alignment horizontal="center" vertical="center" wrapText="1"/>
    </xf>
    <xf numFmtId="0" fontId="74" fillId="28" borderId="0" xfId="6" applyFont="1" applyAlignment="1">
      <alignment horizontal="center" vertical="center"/>
    </xf>
    <xf numFmtId="3" fontId="55" fillId="23" borderId="0" xfId="1" applyNumberFormat="1" applyFont="1" applyBorder="1" applyAlignment="1" applyProtection="1">
      <alignment horizontal="center" vertical="center"/>
      <protection hidden="1"/>
    </xf>
    <xf numFmtId="0" fontId="71" fillId="23" borderId="126" xfId="1" applyFont="1" applyBorder="1" applyAlignment="1">
      <alignment horizontal="center" vertical="center" wrapText="1"/>
    </xf>
    <xf numFmtId="1" fontId="48" fillId="43" borderId="51" xfId="4" applyNumberFormat="1" applyFill="1" applyBorder="1" applyAlignment="1">
      <alignment horizontal="center"/>
    </xf>
    <xf numFmtId="0" fontId="68" fillId="35" borderId="0" xfId="0" applyFont="1" applyFill="1" applyBorder="1"/>
    <xf numFmtId="0" fontId="0" fillId="35" borderId="0" xfId="0" applyFill="1" applyBorder="1" applyAlignment="1">
      <alignment horizontal="left" vertical="center"/>
    </xf>
    <xf numFmtId="0" fontId="69" fillId="35" borderId="0" xfId="0" applyFont="1" applyFill="1" applyBorder="1"/>
    <xf numFmtId="0" fontId="68" fillId="35" borderId="0" xfId="0" applyFont="1" applyFill="1" applyBorder="1" applyAlignment="1">
      <alignment horizontal="left" vertical="center"/>
    </xf>
    <xf numFmtId="0" fontId="68" fillId="40" borderId="0" xfId="0" applyFont="1" applyFill="1" applyBorder="1" applyAlignment="1">
      <alignment horizontal="left" vertical="center"/>
    </xf>
    <xf numFmtId="0" fontId="68" fillId="35" borderId="0" xfId="0" applyFont="1" applyFill="1" applyBorder="1" applyAlignment="1"/>
    <xf numFmtId="0" fontId="68" fillId="35" borderId="0" xfId="0" applyFont="1" applyFill="1" applyBorder="1" applyAlignment="1">
      <alignment horizontal="center"/>
    </xf>
    <xf numFmtId="0" fontId="0" fillId="0" borderId="113" xfId="0" applyBorder="1"/>
    <xf numFmtId="0" fontId="71" fillId="23" borderId="127" xfId="1" applyFont="1" applyBorder="1" applyAlignment="1">
      <alignment horizontal="center" vertical="center" wrapText="1"/>
    </xf>
    <xf numFmtId="0" fontId="0" fillId="40" borderId="121" xfId="0" applyFill="1" applyBorder="1"/>
    <xf numFmtId="0" fontId="74" fillId="40" borderId="0" xfId="6" applyFont="1" applyFill="1" applyAlignment="1">
      <alignment horizontal="center" vertical="center"/>
    </xf>
    <xf numFmtId="0" fontId="74" fillId="28" borderId="0" xfId="6" applyFont="1" applyAlignment="1">
      <alignment horizontal="center" vertical="center"/>
    </xf>
    <xf numFmtId="4" fontId="57" fillId="30" borderId="0" xfId="5" applyNumberFormat="1" applyFont="1" applyFill="1" applyBorder="1" applyAlignment="1" applyProtection="1">
      <alignment horizontal="center" vertical="center"/>
      <protection hidden="1"/>
    </xf>
    <xf numFmtId="0" fontId="78" fillId="40" borderId="0" xfId="0" applyFont="1" applyFill="1" applyBorder="1" applyAlignment="1"/>
    <xf numFmtId="0" fontId="9" fillId="40" borderId="0" xfId="0" applyFont="1" applyFill="1" applyBorder="1" applyAlignment="1"/>
    <xf numFmtId="0" fontId="0" fillId="40" borderId="0" xfId="0" applyFill="1" applyBorder="1" applyAlignment="1">
      <alignment horizontal="right"/>
    </xf>
    <xf numFmtId="0" fontId="44" fillId="40" borderId="0" xfId="0" applyFont="1" applyFill="1" applyBorder="1"/>
    <xf numFmtId="2" fontId="55" fillId="23" borderId="125" xfId="1" applyNumberFormat="1" applyFont="1" applyBorder="1" applyAlignment="1" applyProtection="1">
      <alignment horizontal="center" vertical="center"/>
      <protection hidden="1"/>
    </xf>
    <xf numFmtId="1" fontId="55" fillId="23" borderId="131" xfId="1" applyNumberFormat="1" applyFont="1" applyBorder="1" applyAlignment="1" applyProtection="1">
      <alignment horizontal="center" vertical="center"/>
      <protection hidden="1"/>
    </xf>
    <xf numFmtId="0" fontId="0" fillId="40" borderId="113" xfId="0" applyFill="1" applyBorder="1" applyAlignment="1"/>
    <xf numFmtId="0" fontId="34" fillId="40" borderId="0" xfId="0" applyFont="1" applyFill="1" applyBorder="1"/>
    <xf numFmtId="0" fontId="56" fillId="30" borderId="113" xfId="0" applyFont="1" applyFill="1" applyBorder="1" applyAlignment="1">
      <alignment horizontal="center" vertical="center"/>
    </xf>
    <xf numFmtId="2" fontId="0" fillId="40" borderId="0" xfId="0" applyNumberFormat="1" applyFill="1"/>
    <xf numFmtId="0" fontId="56" fillId="30" borderId="0" xfId="0" applyFont="1" applyFill="1" applyBorder="1" applyAlignment="1">
      <alignment horizontal="center" vertical="center"/>
    </xf>
    <xf numFmtId="1" fontId="0" fillId="0" borderId="0" xfId="0" applyNumberFormat="1"/>
    <xf numFmtId="2" fontId="6" fillId="26" borderId="128" xfId="4" applyNumberFormat="1" applyFont="1" applyBorder="1" applyAlignment="1">
      <alignment horizontal="center" vertical="center"/>
    </xf>
    <xf numFmtId="0" fontId="0" fillId="40" borderId="125" xfId="0" applyFill="1" applyBorder="1"/>
    <xf numFmtId="0" fontId="0" fillId="40" borderId="118" xfId="0" applyFill="1" applyBorder="1"/>
    <xf numFmtId="0" fontId="56" fillId="30" borderId="113" xfId="0" applyFont="1" applyFill="1" applyBorder="1" applyAlignment="1">
      <alignment horizontal="center" vertical="center"/>
    </xf>
    <xf numFmtId="0" fontId="0" fillId="40" borderId="119" xfId="0" applyFill="1" applyBorder="1"/>
    <xf numFmtId="3" fontId="0" fillId="0" borderId="0" xfId="0" applyNumberFormat="1"/>
    <xf numFmtId="0" fontId="69" fillId="35" borderId="0" xfId="0" applyFont="1" applyFill="1" applyBorder="1" applyAlignment="1"/>
    <xf numFmtId="0" fontId="71" fillId="23" borderId="133" xfId="1" applyFont="1" applyBorder="1" applyAlignment="1">
      <alignment horizontal="center" vertical="center" wrapText="1"/>
    </xf>
    <xf numFmtId="0" fontId="71" fillId="23" borderId="135" xfId="1" applyFont="1" applyBorder="1" applyAlignment="1">
      <alignment horizontal="center" vertical="center" wrapText="1"/>
    </xf>
    <xf numFmtId="0" fontId="71" fillId="23" borderId="136" xfId="1" applyFont="1" applyBorder="1" applyAlignment="1">
      <alignment horizontal="center" vertical="center" wrapText="1"/>
    </xf>
    <xf numFmtId="4" fontId="57" fillId="30" borderId="118" xfId="5" applyNumberFormat="1" applyFont="1" applyFill="1" applyBorder="1" applyAlignment="1" applyProtection="1">
      <alignment horizontal="center" vertical="center"/>
      <protection hidden="1"/>
    </xf>
    <xf numFmtId="0" fontId="56" fillId="30" borderId="115" xfId="0" applyFont="1" applyFill="1" applyBorder="1" applyAlignment="1">
      <alignment horizontal="center" vertical="center"/>
    </xf>
    <xf numFmtId="1" fontId="48" fillId="26" borderId="140" xfId="4" applyNumberFormat="1" applyBorder="1" applyAlignment="1">
      <alignment vertical="center"/>
    </xf>
    <xf numFmtId="0" fontId="71" fillId="23" borderId="134" xfId="1" applyFont="1" applyBorder="1" applyAlignment="1">
      <alignment horizontal="center" vertical="center" wrapText="1"/>
    </xf>
    <xf numFmtId="0" fontId="0" fillId="40" borderId="125" xfId="0" applyFill="1" applyBorder="1" applyAlignment="1">
      <alignment horizontal="center"/>
    </xf>
    <xf numFmtId="0" fontId="72" fillId="30" borderId="137" xfId="0" applyFont="1" applyFill="1" applyBorder="1" applyAlignment="1">
      <alignment horizontal="center" vertical="center" wrapText="1"/>
    </xf>
    <xf numFmtId="0" fontId="72" fillId="30" borderId="138" xfId="5" applyFont="1" applyFill="1" applyBorder="1" applyAlignment="1">
      <alignment horizontal="center" vertical="center" wrapText="1"/>
    </xf>
    <xf numFmtId="0" fontId="71" fillId="23" borderId="142" xfId="1" applyFont="1" applyBorder="1" applyAlignment="1">
      <alignment horizontal="center" vertical="center" wrapText="1"/>
    </xf>
    <xf numFmtId="1" fontId="48" fillId="26" borderId="143" xfId="4" applyNumberFormat="1" applyBorder="1" applyAlignment="1">
      <alignment vertical="center"/>
    </xf>
    <xf numFmtId="0" fontId="71" fillId="45" borderId="135" xfId="1" applyFont="1" applyFill="1" applyBorder="1" applyAlignment="1">
      <alignment horizontal="center" vertical="center" wrapText="1"/>
    </xf>
    <xf numFmtId="0" fontId="56" fillId="30" borderId="113" xfId="0" applyFont="1" applyFill="1" applyBorder="1" applyAlignment="1">
      <alignment horizontal="center" vertical="center"/>
    </xf>
    <xf numFmtId="0" fontId="0" fillId="40" borderId="0" xfId="0" quotePrefix="1" applyFill="1" applyBorder="1" applyAlignment="1"/>
    <xf numFmtId="0" fontId="73" fillId="40" borderId="0" xfId="6" applyFont="1" applyFill="1" applyAlignment="1">
      <alignment vertical="center"/>
    </xf>
    <xf numFmtId="0" fontId="81" fillId="35" borderId="0" xfId="0" applyFont="1" applyFill="1" applyBorder="1" applyAlignment="1"/>
    <xf numFmtId="0" fontId="81" fillId="40" borderId="0" xfId="0" applyFont="1" applyFill="1" applyBorder="1" applyAlignment="1"/>
    <xf numFmtId="0" fontId="68" fillId="40" borderId="0" xfId="0" applyFont="1" applyFill="1" applyBorder="1" applyAlignment="1"/>
    <xf numFmtId="0" fontId="82" fillId="35" borderId="0" xfId="0" applyFont="1" applyFill="1" applyBorder="1" applyAlignment="1"/>
    <xf numFmtId="0" fontId="71" fillId="23" borderId="144" xfId="1" applyFont="1" applyBorder="1" applyAlignment="1">
      <alignment horizontal="center" vertical="center" wrapText="1"/>
    </xf>
    <xf numFmtId="0" fontId="71" fillId="23" borderId="145" xfId="1" applyFont="1" applyBorder="1" applyAlignment="1">
      <alignment horizontal="center" vertical="center" wrapText="1"/>
    </xf>
    <xf numFmtId="0" fontId="72" fillId="30" borderId="146" xfId="0" applyFont="1" applyFill="1" applyBorder="1" applyAlignment="1">
      <alignment horizontal="center" vertical="center" wrapText="1"/>
    </xf>
    <xf numFmtId="0" fontId="5" fillId="26" borderId="147" xfId="4" applyFont="1" applyBorder="1" applyAlignment="1">
      <alignment horizontal="center"/>
    </xf>
    <xf numFmtId="0" fontId="5" fillId="26" borderId="148" xfId="4" applyFont="1" applyBorder="1" applyAlignment="1">
      <alignment horizontal="center"/>
    </xf>
    <xf numFmtId="0" fontId="5" fillId="26" borderId="149" xfId="4" applyFont="1" applyBorder="1" applyAlignment="1">
      <alignment horizontal="center"/>
    </xf>
    <xf numFmtId="0" fontId="74" fillId="28" borderId="0" xfId="6" applyFont="1" applyAlignment="1">
      <alignment horizontal="center" vertical="center"/>
    </xf>
    <xf numFmtId="0" fontId="74" fillId="28" borderId="0" xfId="6" applyFont="1" applyBorder="1" applyAlignment="1">
      <alignment vertical="center"/>
    </xf>
    <xf numFmtId="0" fontId="74" fillId="40" borderId="0" xfId="6" applyFont="1" applyFill="1" applyBorder="1" applyAlignment="1">
      <alignment vertical="center"/>
    </xf>
    <xf numFmtId="0" fontId="5" fillId="26" borderId="130" xfId="4" applyFont="1" applyBorder="1" applyAlignment="1">
      <alignment horizontal="center"/>
    </xf>
    <xf numFmtId="0" fontId="5" fillId="26" borderId="150" xfId="4" applyFont="1" applyBorder="1" applyAlignment="1">
      <alignment horizontal="center"/>
    </xf>
    <xf numFmtId="0" fontId="5" fillId="26" borderId="151" xfId="4" applyFont="1" applyBorder="1" applyAlignment="1">
      <alignment horizontal="center"/>
    </xf>
    <xf numFmtId="0" fontId="5" fillId="26" borderId="152" xfId="4" applyFont="1" applyBorder="1" applyAlignment="1">
      <alignment horizontal="center"/>
    </xf>
    <xf numFmtId="0" fontId="5" fillId="26" borderId="153" xfId="4" applyFont="1" applyBorder="1" applyAlignment="1">
      <alignment horizontal="center"/>
    </xf>
    <xf numFmtId="0" fontId="0" fillId="40" borderId="154" xfId="0" applyFill="1" applyBorder="1" applyAlignment="1"/>
    <xf numFmtId="0" fontId="0" fillId="40" borderId="154" xfId="0" applyFill="1" applyBorder="1"/>
    <xf numFmtId="0" fontId="8" fillId="40" borderId="0" xfId="0" applyFont="1" applyFill="1" applyBorder="1"/>
    <xf numFmtId="0" fontId="70" fillId="29" borderId="155" xfId="0" applyFont="1" applyFill="1" applyBorder="1" applyAlignment="1">
      <alignment horizontal="center" vertical="center" wrapText="1"/>
    </xf>
    <xf numFmtId="0" fontId="72" fillId="30" borderId="156" xfId="5" applyFont="1" applyFill="1" applyBorder="1" applyAlignment="1">
      <alignment horizontal="center" vertical="center" wrapText="1"/>
    </xf>
    <xf numFmtId="0" fontId="5" fillId="26" borderId="157" xfId="4" applyFont="1" applyBorder="1" applyAlignment="1">
      <alignment horizontal="center"/>
    </xf>
    <xf numFmtId="0" fontId="5" fillId="26" borderId="158" xfId="4" applyFont="1" applyBorder="1" applyAlignment="1">
      <alignment horizontal="center"/>
    </xf>
    <xf numFmtId="0" fontId="5" fillId="26" borderId="162" xfId="4" applyFont="1" applyBorder="1" applyAlignment="1">
      <alignment horizontal="center"/>
    </xf>
    <xf numFmtId="0" fontId="5" fillId="26" borderId="124" xfId="4" applyFont="1" applyBorder="1" applyAlignment="1">
      <alignment horizontal="center"/>
    </xf>
    <xf numFmtId="0" fontId="5" fillId="26" borderId="163" xfId="4" applyFont="1" applyBorder="1" applyAlignment="1">
      <alignment horizontal="center"/>
    </xf>
    <xf numFmtId="0" fontId="5" fillId="26" borderId="164" xfId="4" applyFont="1" applyBorder="1" applyAlignment="1">
      <alignment horizontal="center"/>
    </xf>
    <xf numFmtId="0" fontId="5" fillId="26" borderId="121" xfId="4" applyFont="1" applyBorder="1" applyAlignment="1">
      <alignment horizontal="center"/>
    </xf>
    <xf numFmtId="0" fontId="5" fillId="26" borderId="165" xfId="4" applyFont="1" applyBorder="1" applyAlignment="1">
      <alignment horizontal="center"/>
    </xf>
    <xf numFmtId="1" fontId="5" fillId="26" borderId="125" xfId="4" applyNumberFormat="1" applyFont="1" applyBorder="1" applyAlignment="1">
      <alignment horizontal="center"/>
    </xf>
    <xf numFmtId="0" fontId="5" fillId="26" borderId="166" xfId="4" applyFont="1" applyBorder="1" applyAlignment="1">
      <alignment horizontal="center"/>
    </xf>
    <xf numFmtId="167" fontId="0" fillId="0" borderId="0" xfId="0" applyNumberFormat="1" applyBorder="1"/>
    <xf numFmtId="0" fontId="46" fillId="40" borderId="0" xfId="0" applyFont="1" applyFill="1" applyBorder="1"/>
    <xf numFmtId="0" fontId="55" fillId="23" borderId="170" xfId="1" applyFont="1" applyBorder="1" applyAlignment="1">
      <alignment horizontal="center" vertical="center" wrapText="1"/>
    </xf>
    <xf numFmtId="0" fontId="55" fillId="23" borderId="171" xfId="1" applyFont="1" applyBorder="1" applyAlignment="1">
      <alignment horizontal="center" vertical="center" wrapText="1"/>
    </xf>
    <xf numFmtId="0" fontId="75" fillId="29" borderId="172" xfId="0" applyFont="1" applyFill="1" applyBorder="1" applyAlignment="1">
      <alignment horizontal="center" vertical="center" wrapText="1"/>
    </xf>
    <xf numFmtId="2" fontId="48" fillId="26" borderId="173" xfId="4" applyNumberFormat="1" applyBorder="1" applyAlignment="1">
      <alignment horizontal="center" vertical="center"/>
    </xf>
    <xf numFmtId="0" fontId="71" fillId="45" borderId="175" xfId="1" applyFont="1" applyFill="1" applyBorder="1" applyAlignment="1">
      <alignment horizontal="center" vertical="center" wrapText="1"/>
    </xf>
    <xf numFmtId="0" fontId="71" fillId="46" borderId="102" xfId="1" applyFont="1" applyFill="1" applyBorder="1" applyAlignment="1">
      <alignment horizontal="center" vertical="center" wrapText="1"/>
    </xf>
    <xf numFmtId="0" fontId="71" fillId="47" borderId="102" xfId="1" applyFont="1" applyFill="1" applyBorder="1" applyAlignment="1">
      <alignment horizontal="center" vertical="center" wrapText="1"/>
    </xf>
    <xf numFmtId="0" fontId="55" fillId="23" borderId="176" xfId="1" applyFont="1" applyBorder="1" applyAlignment="1">
      <alignment horizontal="center" vertical="center" wrapText="1"/>
    </xf>
    <xf numFmtId="0" fontId="33" fillId="40" borderId="0" xfId="0" applyFont="1" applyFill="1" applyBorder="1" applyAlignment="1">
      <alignment horizontal="right" vertical="center"/>
    </xf>
    <xf numFmtId="0" fontId="42" fillId="40" borderId="0" xfId="0" applyFont="1" applyFill="1" applyBorder="1" applyAlignment="1">
      <alignment horizontal="centerContinuous" vertical="center"/>
    </xf>
    <xf numFmtId="0" fontId="0" fillId="40" borderId="0" xfId="0" applyFill="1" applyBorder="1" applyAlignment="1">
      <alignment horizontal="center"/>
    </xf>
    <xf numFmtId="164" fontId="0" fillId="40" borderId="0" xfId="0" applyNumberFormat="1" applyFill="1" applyBorder="1"/>
    <xf numFmtId="165" fontId="0" fillId="40" borderId="0" xfId="0" applyNumberFormat="1" applyFill="1" applyBorder="1"/>
    <xf numFmtId="1" fontId="0" fillId="0" borderId="0" xfId="0" applyNumberFormat="1" applyFill="1"/>
    <xf numFmtId="169" fontId="0" fillId="0" borderId="0" xfId="0" applyNumberFormat="1" applyFill="1"/>
    <xf numFmtId="167" fontId="0" fillId="0" borderId="0" xfId="0" applyNumberFormat="1" applyFill="1"/>
    <xf numFmtId="164" fontId="0" fillId="0" borderId="0" xfId="0" applyNumberFormat="1" applyFill="1"/>
    <xf numFmtId="0" fontId="0" fillId="0" borderId="0" xfId="0" applyFill="1"/>
    <xf numFmtId="0" fontId="56" fillId="30" borderId="113" xfId="0" applyFont="1" applyFill="1" applyBorder="1" applyAlignment="1">
      <alignment horizontal="center" vertical="center"/>
    </xf>
    <xf numFmtId="0" fontId="74" fillId="40" borderId="115" xfId="6" applyFont="1" applyFill="1" applyBorder="1" applyAlignment="1">
      <alignment vertical="center" wrapText="1"/>
    </xf>
    <xf numFmtId="0" fontId="87" fillId="35" borderId="0" xfId="0" applyFont="1" applyFill="1" applyBorder="1" applyAlignment="1"/>
    <xf numFmtId="0" fontId="84" fillId="44" borderId="179" xfId="13" applyAlignment="1">
      <alignment horizontal="center"/>
    </xf>
    <xf numFmtId="164" fontId="84" fillId="44" borderId="179" xfId="13" applyNumberFormat="1" applyAlignment="1">
      <alignment horizontal="center" vertical="center"/>
    </xf>
    <xf numFmtId="165" fontId="84" fillId="44" borderId="179" xfId="13" applyNumberFormat="1" applyAlignment="1">
      <alignment horizontal="center" vertical="center"/>
    </xf>
    <xf numFmtId="0" fontId="56" fillId="30" borderId="113" xfId="0" applyFont="1" applyFill="1" applyBorder="1" applyAlignment="1">
      <alignment horizontal="center" vertical="center"/>
    </xf>
    <xf numFmtId="0" fontId="27" fillId="0" borderId="0" xfId="0" applyFont="1" applyFill="1"/>
    <xf numFmtId="0" fontId="14" fillId="0" borderId="0" xfId="0" applyFont="1"/>
    <xf numFmtId="0" fontId="0" fillId="40" borderId="0" xfId="0" applyFill="1" applyBorder="1" applyAlignment="1">
      <alignment horizontal="center"/>
    </xf>
    <xf numFmtId="0" fontId="0" fillId="40" borderId="0" xfId="0" applyFill="1" applyBorder="1" applyAlignment="1">
      <alignment horizontal="center"/>
    </xf>
    <xf numFmtId="0" fontId="74" fillId="40" borderId="0" xfId="6" applyFont="1" applyFill="1" applyAlignment="1">
      <alignment horizontal="center" vertical="center" wrapText="1"/>
    </xf>
    <xf numFmtId="0" fontId="56" fillId="30" borderId="0" xfId="0" applyFont="1" applyFill="1" applyBorder="1" applyAlignment="1">
      <alignment horizontal="center" vertical="center"/>
    </xf>
    <xf numFmtId="0" fontId="56" fillId="30" borderId="113" xfId="0" applyFont="1" applyFill="1" applyBorder="1" applyAlignment="1">
      <alignment horizontal="center" vertical="center"/>
    </xf>
    <xf numFmtId="0" fontId="84" fillId="44" borderId="179" xfId="13" applyAlignment="1">
      <alignment horizontal="center" vertical="center" wrapText="1"/>
    </xf>
    <xf numFmtId="0" fontId="73" fillId="40" borderId="113" xfId="6" applyFont="1" applyFill="1" applyBorder="1" applyAlignment="1">
      <alignment vertical="center"/>
    </xf>
    <xf numFmtId="0" fontId="56" fillId="30" borderId="0" xfId="0" applyFont="1" applyFill="1" applyBorder="1" applyAlignment="1">
      <alignment horizontal="center" vertical="center"/>
    </xf>
    <xf numFmtId="0" fontId="84" fillId="44" borderId="179" xfId="13" applyAlignment="1">
      <alignment horizontal="center" vertical="center" wrapText="1"/>
    </xf>
    <xf numFmtId="9" fontId="57" fillId="24" borderId="0" xfId="2" applyNumberFormat="1" applyFont="1" applyBorder="1" applyAlignment="1">
      <alignment horizontal="center" vertical="center"/>
    </xf>
    <xf numFmtId="0" fontId="92" fillId="44" borderId="179" xfId="13" applyFont="1" applyAlignment="1">
      <alignment horizontal="center" vertical="center" wrapText="1"/>
    </xf>
    <xf numFmtId="0" fontId="0" fillId="4" borderId="185" xfId="0" applyFill="1" applyBorder="1"/>
    <xf numFmtId="0" fontId="84" fillId="44" borderId="179" xfId="13"/>
    <xf numFmtId="0" fontId="0" fillId="4" borderId="186" xfId="0" applyFill="1" applyBorder="1"/>
    <xf numFmtId="0" fontId="0" fillId="4" borderId="184" xfId="0" applyFill="1" applyBorder="1"/>
    <xf numFmtId="0" fontId="0" fillId="4" borderId="191" xfId="0" applyFill="1" applyBorder="1"/>
    <xf numFmtId="166" fontId="55" fillId="23" borderId="0" xfId="1" applyNumberFormat="1" applyFont="1" applyBorder="1" applyAlignment="1" applyProtection="1">
      <alignment horizontal="center" vertical="center"/>
      <protection hidden="1"/>
    </xf>
    <xf numFmtId="171" fontId="48" fillId="0" borderId="121" xfId="4" applyNumberFormat="1" applyFill="1" applyBorder="1" applyAlignment="1">
      <alignment vertical="center"/>
    </xf>
    <xf numFmtId="168" fontId="55" fillId="23" borderId="0" xfId="1" applyNumberFormat="1" applyFont="1" applyBorder="1" applyAlignment="1" applyProtection="1">
      <alignment horizontal="center" vertical="center"/>
      <protection hidden="1"/>
    </xf>
    <xf numFmtId="0" fontId="0" fillId="4" borderId="192" xfId="0" applyFill="1" applyBorder="1"/>
    <xf numFmtId="0" fontId="42" fillId="9" borderId="195" xfId="0" applyFont="1" applyFill="1" applyBorder="1" applyAlignment="1" applyProtection="1">
      <alignment horizontal="center" vertical="center"/>
      <protection hidden="1"/>
    </xf>
    <xf numFmtId="0" fontId="42" fillId="9" borderId="193" xfId="0" applyFont="1" applyFill="1" applyBorder="1" applyAlignment="1" applyProtection="1">
      <alignment horizontal="center" vertical="center"/>
      <protection hidden="1"/>
    </xf>
    <xf numFmtId="165" fontId="42" fillId="9" borderId="195" xfId="0" applyNumberFormat="1" applyFont="1" applyFill="1" applyBorder="1" applyAlignment="1" applyProtection="1">
      <alignment horizontal="center" vertical="center"/>
      <protection hidden="1"/>
    </xf>
    <xf numFmtId="165" fontId="42" fillId="9" borderId="193" xfId="0" applyNumberFormat="1" applyFont="1" applyFill="1" applyBorder="1" applyAlignment="1" applyProtection="1">
      <alignment horizontal="center" vertical="center"/>
      <protection hidden="1"/>
    </xf>
    <xf numFmtId="2" fontId="42" fillId="9" borderId="197" xfId="0" applyNumberFormat="1" applyFont="1" applyFill="1" applyBorder="1" applyAlignment="1" applyProtection="1">
      <alignment horizontal="center" vertical="center"/>
      <protection hidden="1"/>
    </xf>
    <xf numFmtId="0" fontId="49" fillId="48" borderId="193" xfId="11" applyBorder="1" applyAlignment="1">
      <alignment horizontal="center" vertical="center"/>
    </xf>
    <xf numFmtId="2" fontId="42" fillId="9" borderId="198" xfId="0" applyNumberFormat="1" applyFont="1" applyFill="1" applyBorder="1" applyAlignment="1" applyProtection="1">
      <alignment horizontal="center" vertical="center"/>
      <protection hidden="1"/>
    </xf>
    <xf numFmtId="0" fontId="55" fillId="45" borderId="180" xfId="1" applyFont="1" applyFill="1" applyBorder="1" applyAlignment="1">
      <alignment horizontal="center" vertical="center" wrapText="1"/>
    </xf>
    <xf numFmtId="170" fontId="40" fillId="21" borderId="193" xfId="0" applyNumberFormat="1" applyFont="1" applyFill="1" applyBorder="1" applyAlignment="1">
      <alignment horizontal="center" vertical="center"/>
    </xf>
    <xf numFmtId="0" fontId="8" fillId="6" borderId="118" xfId="0" applyFont="1" applyFill="1" applyBorder="1"/>
    <xf numFmtId="0" fontId="0" fillId="4" borderId="199" xfId="0" applyFill="1" applyBorder="1"/>
    <xf numFmtId="9" fontId="42" fillId="9" borderId="193" xfId="0" applyNumberFormat="1" applyFont="1" applyFill="1" applyBorder="1" applyAlignment="1" applyProtection="1">
      <alignment horizontal="center" vertical="center"/>
      <protection hidden="1"/>
    </xf>
    <xf numFmtId="0" fontId="0" fillId="4" borderId="202" xfId="0" applyFill="1" applyBorder="1"/>
    <xf numFmtId="166" fontId="5" fillId="26" borderId="203" xfId="4" applyNumberFormat="1" applyFont="1" applyBorder="1" applyAlignment="1">
      <alignment horizontal="center"/>
    </xf>
    <xf numFmtId="0" fontId="0" fillId="0" borderId="13" xfId="0" applyBorder="1" applyProtection="1">
      <protection hidden="1"/>
    </xf>
    <xf numFmtId="0" fontId="24" fillId="0" borderId="13" xfId="7" applyFont="1" applyFill="1" applyBorder="1" applyAlignment="1" applyProtection="1">
      <alignment horizontal="center"/>
      <protection hidden="1"/>
    </xf>
    <xf numFmtId="166" fontId="93" fillId="9" borderId="193" xfId="0" applyNumberFormat="1" applyFont="1" applyFill="1" applyBorder="1" applyAlignment="1" applyProtection="1">
      <alignment horizontal="center" vertical="center"/>
      <protection hidden="1"/>
    </xf>
    <xf numFmtId="168" fontId="93" fillId="9" borderId="193" xfId="0" applyNumberFormat="1" applyFont="1" applyFill="1" applyBorder="1" applyAlignment="1" applyProtection="1">
      <alignment horizontal="center" vertical="center"/>
      <protection hidden="1"/>
    </xf>
    <xf numFmtId="166" fontId="5" fillId="26" borderId="158" xfId="4" applyNumberFormat="1" applyFont="1" applyBorder="1" applyAlignment="1">
      <alignment horizontal="center"/>
    </xf>
    <xf numFmtId="166" fontId="5" fillId="26" borderId="130" xfId="4" applyNumberFormat="1" applyFont="1" applyBorder="1" applyAlignment="1">
      <alignment horizontal="center"/>
    </xf>
    <xf numFmtId="166" fontId="5" fillId="26" borderId="125" xfId="4" applyNumberFormat="1" applyFont="1" applyBorder="1" applyAlignment="1">
      <alignment horizontal="center"/>
    </xf>
    <xf numFmtId="0" fontId="45" fillId="0" borderId="0" xfId="0" applyFont="1" applyFill="1" applyBorder="1"/>
    <xf numFmtId="0" fontId="8" fillId="0" borderId="0" xfId="0" applyFont="1" applyFill="1" applyBorder="1"/>
    <xf numFmtId="0" fontId="27" fillId="0" borderId="0" xfId="0" applyFont="1" applyFill="1" applyBorder="1"/>
    <xf numFmtId="0" fontId="84" fillId="44" borderId="208" xfId="13" applyBorder="1" applyAlignment="1">
      <alignment vertical="center" wrapText="1"/>
    </xf>
    <xf numFmtId="0" fontId="56" fillId="30" borderId="0" xfId="0" applyFont="1" applyFill="1" applyBorder="1" applyAlignment="1">
      <alignment horizontal="center" vertical="center"/>
    </xf>
    <xf numFmtId="0" fontId="56" fillId="30" borderId="113" xfId="0" applyFont="1" applyFill="1" applyBorder="1" applyAlignment="1">
      <alignment horizontal="center" vertical="center"/>
    </xf>
    <xf numFmtId="0" fontId="84" fillId="44" borderId="179" xfId="13" applyAlignment="1">
      <alignment horizontal="center" vertical="center" wrapText="1"/>
    </xf>
    <xf numFmtId="166" fontId="93" fillId="9" borderId="196" xfId="0" applyNumberFormat="1" applyFont="1" applyFill="1" applyBorder="1" applyAlignment="1" applyProtection="1">
      <alignment horizontal="center" vertical="center"/>
      <protection hidden="1"/>
    </xf>
    <xf numFmtId="0" fontId="84" fillId="44" borderId="183" xfId="13" applyBorder="1"/>
    <xf numFmtId="3" fontId="5" fillId="26" borderId="203" xfId="4" applyNumberFormat="1" applyFont="1" applyBorder="1" applyAlignment="1">
      <alignment horizontal="center"/>
    </xf>
    <xf numFmtId="3" fontId="5" fillId="26" borderId="130" xfId="4" applyNumberFormat="1" applyFont="1" applyBorder="1" applyAlignment="1">
      <alignment horizontal="center"/>
    </xf>
    <xf numFmtId="3" fontId="5" fillId="26" borderId="158" xfId="4" applyNumberFormat="1" applyFont="1" applyBorder="1" applyAlignment="1">
      <alignment horizontal="center"/>
    </xf>
    <xf numFmtId="9" fontId="5" fillId="26" borderId="209" xfId="4" applyNumberFormat="1" applyFont="1" applyBorder="1" applyAlignment="1">
      <alignment horizontal="center"/>
    </xf>
    <xf numFmtId="0" fontId="11" fillId="40" borderId="0" xfId="0" applyFont="1" applyFill="1" applyBorder="1"/>
    <xf numFmtId="0" fontId="56" fillId="30" borderId="0" xfId="0" applyFont="1" applyFill="1" applyBorder="1" applyAlignment="1">
      <alignment horizontal="center" vertical="center"/>
    </xf>
    <xf numFmtId="0" fontId="84" fillId="44" borderId="179" xfId="13" applyAlignment="1">
      <alignment horizontal="center" vertical="center" wrapText="1"/>
    </xf>
    <xf numFmtId="0" fontId="84" fillId="44" borderId="191" xfId="13" applyBorder="1" applyAlignment="1">
      <alignment horizontal="center" vertical="center" wrapText="1"/>
    </xf>
    <xf numFmtId="0" fontId="92" fillId="44" borderId="191" xfId="13" applyFont="1" applyBorder="1" applyAlignment="1">
      <alignment horizontal="center" vertical="center" wrapText="1"/>
    </xf>
    <xf numFmtId="0" fontId="0" fillId="4" borderId="210" xfId="0" applyFill="1" applyBorder="1"/>
    <xf numFmtId="0" fontId="0" fillId="0" borderId="115" xfId="0" applyBorder="1"/>
    <xf numFmtId="0" fontId="0" fillId="40" borderId="117" xfId="0" applyFill="1" applyBorder="1"/>
    <xf numFmtId="0" fontId="48" fillId="0" borderId="0" xfId="4" applyFill="1" applyBorder="1" applyAlignment="1">
      <alignment wrapText="1"/>
    </xf>
    <xf numFmtId="1" fontId="48" fillId="0" borderId="0" xfId="4" applyNumberFormat="1" applyFill="1" applyBorder="1" applyAlignment="1">
      <alignment horizontal="center"/>
    </xf>
    <xf numFmtId="2" fontId="48" fillId="0" borderId="0" xfId="4" applyNumberFormat="1" applyFill="1" applyBorder="1" applyAlignment="1">
      <alignment horizontal="center"/>
    </xf>
    <xf numFmtId="165" fontId="48" fillId="0" borderId="0" xfId="4" applyNumberFormat="1" applyFill="1" applyBorder="1" applyAlignment="1">
      <alignment horizontal="center"/>
    </xf>
    <xf numFmtId="0" fontId="48" fillId="0" borderId="0" xfId="4" applyFill="1" applyBorder="1" applyAlignment="1">
      <alignment horizontal="center"/>
    </xf>
    <xf numFmtId="0" fontId="48" fillId="0" borderId="0" xfId="4" applyFill="1" applyBorder="1"/>
    <xf numFmtId="1" fontId="0" fillId="0" borderId="0" xfId="0" applyNumberFormat="1" applyFill="1" applyBorder="1"/>
    <xf numFmtId="2" fontId="0" fillId="0" borderId="0" xfId="0" applyNumberFormat="1" applyFill="1" applyBorder="1"/>
    <xf numFmtId="165" fontId="0" fillId="0" borderId="0" xfId="0" applyNumberFormat="1" applyFill="1" applyBorder="1"/>
    <xf numFmtId="0" fontId="48" fillId="0" borderId="0" xfId="4" applyFill="1" applyBorder="1" applyAlignment="1" applyProtection="1">
      <alignment horizontal="center"/>
    </xf>
    <xf numFmtId="0" fontId="8" fillId="0" borderId="0" xfId="0" applyFont="1" applyFill="1"/>
    <xf numFmtId="1" fontId="55" fillId="23" borderId="0" xfId="1" applyNumberFormat="1" applyFont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horizontal="left" vertical="center"/>
    </xf>
    <xf numFmtId="3" fontId="0" fillId="0" borderId="0" xfId="0" applyNumberFormat="1" applyFill="1"/>
    <xf numFmtId="0" fontId="56" fillId="30" borderId="216" xfId="5" applyFont="1" applyFill="1" applyBorder="1" applyAlignment="1">
      <alignment horizontal="center" wrapText="1"/>
    </xf>
    <xf numFmtId="0" fontId="97" fillId="0" borderId="0" xfId="14" quotePrefix="1" applyAlignment="1" applyProtection="1"/>
    <xf numFmtId="0" fontId="99" fillId="0" borderId="0" xfId="5" applyFont="1" applyFill="1" applyBorder="1" applyAlignment="1">
      <alignment vertical="center"/>
    </xf>
    <xf numFmtId="0" fontId="100" fillId="0" borderId="0" xfId="0" applyFont="1" applyFill="1" applyBorder="1"/>
    <xf numFmtId="0" fontId="99" fillId="0" borderId="0" xfId="8" applyFont="1" applyFill="1" applyBorder="1" applyAlignment="1">
      <alignment horizontal="center" vertical="center" wrapText="1"/>
    </xf>
    <xf numFmtId="4" fontId="99" fillId="0" borderId="0" xfId="9" applyNumberFormat="1" applyFont="1" applyFill="1" applyBorder="1" applyAlignment="1">
      <alignment horizontal="center" vertical="center" wrapText="1"/>
    </xf>
    <xf numFmtId="164" fontId="101" fillId="0" borderId="0" xfId="1" applyNumberFormat="1" applyFont="1" applyFill="1" applyBorder="1" applyAlignment="1" applyProtection="1">
      <alignment horizontal="center" vertical="center"/>
      <protection hidden="1"/>
    </xf>
    <xf numFmtId="2" fontId="100" fillId="0" borderId="0" xfId="0" applyNumberFormat="1" applyFont="1" applyFill="1" applyBorder="1"/>
    <xf numFmtId="0" fontId="102" fillId="0" borderId="0" xfId="0" applyFont="1" applyFill="1" applyBorder="1" applyAlignment="1">
      <alignment horizontal="center" vertical="center" wrapText="1"/>
    </xf>
    <xf numFmtId="4" fontId="103" fillId="0" borderId="0" xfId="5" applyNumberFormat="1" applyFont="1" applyFill="1" applyBorder="1" applyAlignment="1" applyProtection="1">
      <alignment horizontal="center" vertical="center"/>
      <protection hidden="1"/>
    </xf>
    <xf numFmtId="0" fontId="104" fillId="35" borderId="0" xfId="0" applyFont="1" applyFill="1" applyBorder="1" applyAlignment="1"/>
    <xf numFmtId="0" fontId="98" fillId="40" borderId="0" xfId="0" applyFont="1" applyFill="1" applyBorder="1"/>
    <xf numFmtId="0" fontId="10" fillId="40" borderId="115" xfId="0" applyFont="1" applyFill="1" applyBorder="1"/>
    <xf numFmtId="164" fontId="0" fillId="40" borderId="115" xfId="0" applyNumberFormat="1" applyFill="1" applyBorder="1"/>
    <xf numFmtId="164" fontId="0" fillId="40" borderId="113" xfId="0" applyNumberFormat="1" applyFill="1" applyBorder="1"/>
    <xf numFmtId="0" fontId="10" fillId="40" borderId="113" xfId="0" applyFont="1" applyFill="1" applyBorder="1" applyAlignment="1">
      <alignment horizontal="center" wrapText="1"/>
    </xf>
    <xf numFmtId="167" fontId="0" fillId="40" borderId="113" xfId="0" applyNumberFormat="1" applyFill="1" applyBorder="1"/>
    <xf numFmtId="0" fontId="0" fillId="0" borderId="118" xfId="0" applyBorder="1"/>
    <xf numFmtId="0" fontId="56" fillId="30" borderId="113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 wrapText="1"/>
    </xf>
    <xf numFmtId="0" fontId="3" fillId="26" borderId="52" xfId="4" applyFont="1" applyBorder="1"/>
    <xf numFmtId="0" fontId="74" fillId="28" borderId="0" xfId="6" applyFont="1" applyAlignment="1">
      <alignment horizontal="center" vertical="center"/>
    </xf>
    <xf numFmtId="0" fontId="56" fillId="30" borderId="113" xfId="0" applyFont="1" applyFill="1" applyBorder="1" applyAlignment="1">
      <alignment horizontal="center" vertical="center"/>
    </xf>
    <xf numFmtId="0" fontId="81" fillId="35" borderId="0" xfId="0" applyFont="1" applyFill="1" applyBorder="1" applyAlignment="1">
      <alignment vertical="center"/>
    </xf>
    <xf numFmtId="0" fontId="81" fillId="35" borderId="0" xfId="0" applyFont="1" applyFill="1" applyBorder="1" applyAlignment="1">
      <alignment horizontal="left" vertical="center"/>
    </xf>
    <xf numFmtId="0" fontId="57" fillId="40" borderId="0" xfId="2" applyFont="1" applyFill="1" applyBorder="1" applyAlignment="1">
      <alignment vertical="center"/>
    </xf>
    <xf numFmtId="0" fontId="57" fillId="24" borderId="118" xfId="2" applyFont="1" applyBorder="1" applyAlignment="1">
      <alignment vertical="center"/>
    </xf>
    <xf numFmtId="0" fontId="106" fillId="40" borderId="37" xfId="0" applyFont="1" applyFill="1" applyBorder="1"/>
    <xf numFmtId="165" fontId="55" fillId="40" borderId="0" xfId="1" applyNumberFormat="1" applyFont="1" applyFill="1" applyBorder="1" applyAlignment="1">
      <alignment horizontal="center" vertical="center" wrapText="1"/>
    </xf>
    <xf numFmtId="0" fontId="55" fillId="51" borderId="0" xfId="5" applyFont="1" applyFill="1" applyBorder="1" applyAlignment="1">
      <alignment horizontal="center" vertical="top" wrapText="1"/>
    </xf>
    <xf numFmtId="2" fontId="62" fillId="51" borderId="0" xfId="5" applyNumberFormat="1" applyFont="1" applyFill="1" applyBorder="1" applyAlignment="1" applyProtection="1">
      <alignment horizontal="center" vertical="center"/>
      <protection hidden="1"/>
    </xf>
    <xf numFmtId="0" fontId="60" fillId="40" borderId="0" xfId="1" applyFont="1" applyFill="1" applyBorder="1" applyAlignment="1">
      <alignment horizontal="center" vertical="center" wrapText="1"/>
    </xf>
    <xf numFmtId="0" fontId="60" fillId="51" borderId="0" xfId="5" applyFont="1" applyFill="1" applyBorder="1" applyAlignment="1">
      <alignment horizontal="center" vertical="center" wrapText="1"/>
    </xf>
    <xf numFmtId="2" fontId="63" fillId="51" borderId="0" xfId="5" applyNumberFormat="1" applyFont="1" applyFill="1" applyBorder="1" applyAlignment="1" applyProtection="1">
      <alignment horizontal="center" vertical="center"/>
      <protection hidden="1"/>
    </xf>
    <xf numFmtId="165" fontId="55" fillId="38" borderId="225" xfId="1" applyNumberFormat="1" applyFont="1" applyFill="1" applyBorder="1" applyAlignment="1">
      <alignment horizontal="center" vertical="center" wrapText="1"/>
    </xf>
    <xf numFmtId="0" fontId="50" fillId="37" borderId="226" xfId="1" applyFont="1" applyFill="1" applyBorder="1" applyAlignment="1">
      <alignment horizontal="center" vertical="center" wrapText="1"/>
    </xf>
    <xf numFmtId="0" fontId="56" fillId="30" borderId="228" xfId="1" applyFont="1" applyFill="1" applyBorder="1" applyAlignment="1">
      <alignment horizontal="center" vertical="center" wrapText="1"/>
    </xf>
    <xf numFmtId="0" fontId="56" fillId="30" borderId="0" xfId="0" applyFont="1" applyFill="1" applyBorder="1" applyAlignment="1">
      <alignment horizontal="center" vertical="center"/>
    </xf>
    <xf numFmtId="1" fontId="55" fillId="23" borderId="0" xfId="1" applyNumberFormat="1" applyFont="1" applyBorder="1" applyAlignment="1" applyProtection="1">
      <alignment horizontal="center" vertical="center" wrapText="1"/>
      <protection hidden="1"/>
    </xf>
    <xf numFmtId="0" fontId="0" fillId="52" borderId="0" xfId="0" applyFill="1"/>
    <xf numFmtId="169" fontId="0" fillId="52" borderId="0" xfId="0" applyNumberFormat="1" applyFill="1"/>
    <xf numFmtId="0" fontId="56" fillId="30" borderId="0" xfId="0" applyFont="1" applyFill="1" applyBorder="1" applyAlignment="1">
      <alignment horizontal="center" vertical="center"/>
    </xf>
    <xf numFmtId="0" fontId="56" fillId="30" borderId="113" xfId="0" applyFont="1" applyFill="1" applyBorder="1" applyAlignment="1">
      <alignment horizontal="center" vertical="center"/>
    </xf>
    <xf numFmtId="0" fontId="8" fillId="0" borderId="0" xfId="0" applyFont="1"/>
    <xf numFmtId="1" fontId="48" fillId="26" borderId="0" xfId="4" applyNumberFormat="1" applyBorder="1" applyAlignment="1">
      <alignment horizontal="center" vertical="center"/>
    </xf>
    <xf numFmtId="0" fontId="72" fillId="30" borderId="0" xfId="0" applyFont="1" applyFill="1" applyBorder="1" applyAlignment="1">
      <alignment horizontal="center" vertical="center" wrapText="1"/>
    </xf>
    <xf numFmtId="0" fontId="56" fillId="30" borderId="113" xfId="0" applyFont="1" applyFill="1" applyBorder="1" applyAlignment="1">
      <alignment horizontal="center" vertical="center"/>
    </xf>
    <xf numFmtId="1" fontId="3" fillId="26" borderId="181" xfId="4" applyNumberFormat="1" applyFont="1" applyBorder="1" applyAlignment="1">
      <alignment horizontal="center" vertical="center"/>
    </xf>
    <xf numFmtId="1" fontId="3" fillId="26" borderId="182" xfId="4" applyNumberFormat="1" applyFont="1" applyBorder="1" applyAlignment="1">
      <alignment horizontal="center" vertical="center"/>
    </xf>
    <xf numFmtId="0" fontId="0" fillId="0" borderId="1" xfId="0" applyBorder="1" applyProtection="1">
      <protection hidden="1"/>
    </xf>
    <xf numFmtId="0" fontId="0" fillId="0" borderId="17" xfId="0" applyBorder="1" applyProtection="1">
      <protection hidden="1"/>
    </xf>
    <xf numFmtId="0" fontId="38" fillId="10" borderId="86" xfId="0" applyFont="1" applyFill="1" applyBorder="1" applyAlignment="1" applyProtection="1">
      <alignment horizontal="center" vertical="center"/>
      <protection locked="0"/>
    </xf>
    <xf numFmtId="0" fontId="39" fillId="14" borderId="86" xfId="0" applyFont="1" applyFill="1" applyBorder="1" applyAlignment="1">
      <alignment horizontal="center" vertical="center"/>
    </xf>
    <xf numFmtId="0" fontId="38" fillId="10" borderId="86" xfId="0" applyFont="1" applyFill="1" applyBorder="1" applyAlignment="1" applyProtection="1">
      <alignment horizontal="center"/>
      <protection locked="0"/>
    </xf>
    <xf numFmtId="0" fontId="39" fillId="0" borderId="86" xfId="0" applyFont="1" applyBorder="1" applyAlignment="1">
      <alignment horizontal="center"/>
    </xf>
    <xf numFmtId="14" fontId="38" fillId="10" borderId="86" xfId="0" applyNumberFormat="1" applyFont="1" applyFill="1" applyBorder="1" applyAlignment="1" applyProtection="1">
      <alignment horizontal="center"/>
    </xf>
    <xf numFmtId="0" fontId="74" fillId="28" borderId="24" xfId="6" applyFont="1" applyBorder="1" applyAlignment="1">
      <alignment horizontal="center" vertical="center"/>
    </xf>
    <xf numFmtId="0" fontId="57" fillId="30" borderId="83" xfId="1" applyFont="1" applyFill="1" applyBorder="1" applyAlignment="1">
      <alignment horizontal="center" vertical="center"/>
    </xf>
    <xf numFmtId="0" fontId="57" fillId="30" borderId="84" xfId="1" applyFont="1" applyFill="1" applyBorder="1" applyAlignment="1">
      <alignment horizontal="center" vertical="center"/>
    </xf>
    <xf numFmtId="0" fontId="57" fillId="30" borderId="85" xfId="1" applyFont="1" applyFill="1" applyBorder="1" applyAlignment="1">
      <alignment horizontal="center" vertical="center"/>
    </xf>
    <xf numFmtId="0" fontId="73" fillId="28" borderId="0" xfId="6" applyFont="1" applyAlignment="1">
      <alignment horizontal="center" vertical="center"/>
    </xf>
    <xf numFmtId="22" fontId="38" fillId="10" borderId="86" xfId="0" applyNumberFormat="1" applyFont="1" applyFill="1" applyBorder="1" applyAlignment="1" applyProtection="1">
      <alignment horizontal="center"/>
      <protection locked="0"/>
    </xf>
    <xf numFmtId="14" fontId="19" fillId="10" borderId="86" xfId="0" applyNumberFormat="1" applyFont="1" applyFill="1" applyBorder="1" applyAlignment="1" applyProtection="1">
      <alignment horizontal="center"/>
      <protection locked="0"/>
    </xf>
    <xf numFmtId="0" fontId="56" fillId="30" borderId="104" xfId="5" applyFont="1" applyFill="1" applyBorder="1" applyAlignment="1">
      <alignment horizontal="center" vertical="center"/>
    </xf>
    <xf numFmtId="0" fontId="56" fillId="30" borderId="105" xfId="5" applyFont="1" applyFill="1" applyBorder="1" applyAlignment="1">
      <alignment horizontal="center" vertical="center"/>
    </xf>
    <xf numFmtId="0" fontId="56" fillId="30" borderId="106" xfId="5" applyFont="1" applyFill="1" applyBorder="1" applyAlignment="1">
      <alignment horizontal="center" vertical="center"/>
    </xf>
    <xf numFmtId="0" fontId="74" fillId="28" borderId="0" xfId="6" applyFont="1" applyAlignment="1">
      <alignment horizontal="center" vertical="center" wrapText="1"/>
    </xf>
    <xf numFmtId="0" fontId="74" fillId="28" borderId="0" xfId="6" applyFont="1" applyAlignment="1">
      <alignment horizontal="center" vertical="center"/>
    </xf>
    <xf numFmtId="0" fontId="55" fillId="38" borderId="223" xfId="1" applyFont="1" applyFill="1" applyBorder="1" applyAlignment="1">
      <alignment horizontal="center" vertical="center" wrapText="1"/>
    </xf>
    <xf numFmtId="0" fontId="55" fillId="38" borderId="224" xfId="1" applyFont="1" applyFill="1" applyBorder="1" applyAlignment="1">
      <alignment horizontal="center" vertical="center" wrapText="1"/>
    </xf>
    <xf numFmtId="0" fontId="60" fillId="39" borderId="109" xfId="1" applyFont="1" applyFill="1" applyBorder="1" applyAlignment="1">
      <alignment horizontal="center" vertical="center" wrapText="1"/>
    </xf>
    <xf numFmtId="0" fontId="60" fillId="39" borderId="112" xfId="1" applyFont="1" applyFill="1" applyBorder="1" applyAlignment="1">
      <alignment horizontal="center" vertical="center" wrapText="1"/>
    </xf>
    <xf numFmtId="0" fontId="50" fillId="37" borderId="109" xfId="1" applyFont="1" applyFill="1" applyBorder="1" applyAlignment="1">
      <alignment horizontal="center" vertical="center" wrapText="1"/>
    </xf>
    <xf numFmtId="0" fontId="50" fillId="37" borderId="110" xfId="1" applyFont="1" applyFill="1" applyBorder="1" applyAlignment="1">
      <alignment horizontal="center" vertical="center" wrapText="1"/>
    </xf>
    <xf numFmtId="0" fontId="90" fillId="28" borderId="0" xfId="6" applyFont="1" applyAlignment="1">
      <alignment horizontal="center" vertical="center" wrapText="1"/>
    </xf>
    <xf numFmtId="0" fontId="88" fillId="50" borderId="0" xfId="6" applyFont="1" applyFill="1" applyAlignment="1">
      <alignment horizontal="center" vertical="center"/>
    </xf>
    <xf numFmtId="0" fontId="56" fillId="30" borderId="223" xfId="1" applyFont="1" applyFill="1" applyBorder="1" applyAlignment="1">
      <alignment horizontal="center" vertical="center" wrapText="1"/>
    </xf>
    <xf numFmtId="0" fontId="56" fillId="30" borderId="227" xfId="1" applyFont="1" applyFill="1" applyBorder="1" applyAlignment="1">
      <alignment horizontal="center" vertical="center" wrapText="1"/>
    </xf>
    <xf numFmtId="0" fontId="8" fillId="40" borderId="0" xfId="0" applyFont="1" applyFill="1" applyBorder="1" applyAlignment="1">
      <alignment horizontal="center"/>
    </xf>
    <xf numFmtId="0" fontId="0" fillId="40" borderId="0" xfId="0" applyFill="1" applyBorder="1" applyAlignment="1">
      <alignment horizontal="center"/>
    </xf>
    <xf numFmtId="0" fontId="76" fillId="0" borderId="20" xfId="0" applyFont="1" applyBorder="1" applyAlignment="1"/>
    <xf numFmtId="0" fontId="76" fillId="0" borderId="21" xfId="0" applyFont="1" applyBorder="1" applyAlignment="1"/>
    <xf numFmtId="0" fontId="26" fillId="11" borderId="87" xfId="0" applyFont="1" applyFill="1" applyBorder="1" applyAlignment="1">
      <alignment horizontal="center"/>
    </xf>
    <xf numFmtId="0" fontId="26" fillId="11" borderId="42" xfId="0" applyFont="1" applyFill="1" applyBorder="1" applyAlignment="1">
      <alignment horizontal="center"/>
    </xf>
    <xf numFmtId="0" fontId="26" fillId="11" borderId="24" xfId="0" applyFont="1" applyFill="1" applyBorder="1" applyAlignment="1">
      <alignment horizontal="center"/>
    </xf>
    <xf numFmtId="0" fontId="29" fillId="13" borderId="83" xfId="0" applyFont="1" applyFill="1" applyBorder="1" applyAlignment="1">
      <alignment horizontal="left"/>
    </xf>
    <xf numFmtId="0" fontId="29" fillId="13" borderId="84" xfId="0" applyFont="1" applyFill="1" applyBorder="1" applyAlignment="1">
      <alignment horizontal="left"/>
    </xf>
    <xf numFmtId="0" fontId="29" fillId="13" borderId="46" xfId="0" applyFont="1" applyFill="1" applyBorder="1" applyAlignment="1">
      <alignment horizontal="left"/>
    </xf>
    <xf numFmtId="0" fontId="89" fillId="28" borderId="0" xfId="6" applyFont="1" applyAlignment="1">
      <alignment horizontal="center" vertical="center" wrapText="1"/>
    </xf>
    <xf numFmtId="22" fontId="19" fillId="10" borderId="86" xfId="0" applyNumberFormat="1" applyFont="1" applyFill="1" applyBorder="1" applyAlignment="1" applyProtection="1">
      <alignment horizontal="center"/>
      <protection locked="0"/>
    </xf>
    <xf numFmtId="14" fontId="19" fillId="10" borderId="86" xfId="0" applyNumberFormat="1" applyFont="1" applyFill="1" applyBorder="1" applyAlignment="1" applyProtection="1">
      <alignment horizontal="center"/>
    </xf>
    <xf numFmtId="0" fontId="19" fillId="10" borderId="86" xfId="0" applyFont="1" applyFill="1" applyBorder="1" applyAlignment="1" applyProtection="1">
      <alignment horizontal="center" vertical="center"/>
      <protection locked="0"/>
    </xf>
    <xf numFmtId="0" fontId="19" fillId="10" borderId="86" xfId="0" applyFont="1" applyFill="1" applyBorder="1" applyAlignment="1" applyProtection="1">
      <alignment horizontal="center"/>
      <protection locked="0"/>
    </xf>
    <xf numFmtId="2" fontId="48" fillId="26" borderId="108" xfId="4" applyNumberFormat="1" applyBorder="1" applyAlignment="1">
      <alignment horizontal="center" vertical="center"/>
    </xf>
    <xf numFmtId="0" fontId="73" fillId="28" borderId="0" xfId="6" applyFont="1" applyAlignment="1">
      <alignment horizontal="center" vertical="center" wrapText="1"/>
    </xf>
    <xf numFmtId="2" fontId="48" fillId="26" borderId="107" xfId="4" applyNumberFormat="1" applyBorder="1" applyAlignment="1">
      <alignment horizontal="center" vertical="center"/>
    </xf>
    <xf numFmtId="1" fontId="48" fillId="26" borderId="107" xfId="4" applyNumberFormat="1" applyBorder="1" applyAlignment="1">
      <alignment horizontal="center" vertical="center"/>
    </xf>
    <xf numFmtId="1" fontId="48" fillId="26" borderId="108" xfId="4" applyNumberFormat="1" applyBorder="1" applyAlignment="1">
      <alignment horizontal="center" vertical="center"/>
    </xf>
    <xf numFmtId="0" fontId="77" fillId="36" borderId="0" xfId="0" applyFont="1" applyFill="1" applyBorder="1" applyAlignment="1">
      <alignment horizontal="center" vertical="center"/>
    </xf>
    <xf numFmtId="2" fontId="48" fillId="26" borderId="108" xfId="4" applyNumberFormat="1" applyBorder="1" applyAlignment="1">
      <alignment horizontal="center" vertical="center" wrapText="1"/>
    </xf>
    <xf numFmtId="2" fontId="3" fillId="26" borderId="123" xfId="4" applyNumberFormat="1" applyFont="1" applyBorder="1" applyAlignment="1">
      <alignment horizontal="center" vertical="center"/>
    </xf>
    <xf numFmtId="2" fontId="48" fillId="26" borderId="123" xfId="4" applyNumberFormat="1" applyBorder="1" applyAlignment="1">
      <alignment horizontal="center" vertical="center"/>
    </xf>
    <xf numFmtId="2" fontId="48" fillId="26" borderId="0" xfId="4" applyNumberFormat="1" applyBorder="1" applyAlignment="1">
      <alignment horizontal="center" vertical="center"/>
    </xf>
    <xf numFmtId="0" fontId="77" fillId="36" borderId="104" xfId="0" applyFont="1" applyFill="1" applyBorder="1" applyAlignment="1">
      <alignment horizontal="center" vertical="center"/>
    </xf>
    <xf numFmtId="0" fontId="77" fillId="36" borderId="105" xfId="0" applyFont="1" applyFill="1" applyBorder="1" applyAlignment="1">
      <alignment horizontal="center" vertical="center"/>
    </xf>
    <xf numFmtId="0" fontId="77" fillId="36" borderId="106" xfId="0" applyFont="1" applyFill="1" applyBorder="1" applyAlignment="1">
      <alignment horizontal="center" vertical="center"/>
    </xf>
    <xf numFmtId="0" fontId="85" fillId="28" borderId="0" xfId="6" applyFont="1" applyAlignment="1">
      <alignment horizontal="center" vertical="center" wrapText="1"/>
    </xf>
    <xf numFmtId="0" fontId="86" fillId="28" borderId="0" xfId="6" applyFont="1" applyAlignment="1">
      <alignment horizontal="right" vertical="center" wrapText="1"/>
    </xf>
    <xf numFmtId="0" fontId="0" fillId="10" borderId="86" xfId="0" applyFill="1" applyBorder="1" applyAlignment="1">
      <alignment horizontal="center"/>
    </xf>
    <xf numFmtId="0" fontId="99" fillId="0" borderId="0" xfId="8" applyFont="1" applyFill="1" applyBorder="1" applyAlignment="1">
      <alignment horizontal="center" vertical="center" wrapText="1"/>
    </xf>
    <xf numFmtId="14" fontId="0" fillId="10" borderId="86" xfId="0" applyNumberFormat="1" applyFill="1" applyBorder="1" applyAlignment="1">
      <alignment horizontal="center"/>
    </xf>
    <xf numFmtId="0" fontId="77" fillId="36" borderId="114" xfId="0" applyFont="1" applyFill="1" applyBorder="1" applyAlignment="1">
      <alignment horizontal="center" vertical="center"/>
    </xf>
    <xf numFmtId="0" fontId="77" fillId="36" borderId="115" xfId="0" applyFont="1" applyFill="1" applyBorder="1" applyAlignment="1">
      <alignment horizontal="center" vertical="center"/>
    </xf>
    <xf numFmtId="0" fontId="77" fillId="36" borderId="116" xfId="0" applyFont="1" applyFill="1" applyBorder="1" applyAlignment="1">
      <alignment horizontal="center" vertical="center"/>
    </xf>
    <xf numFmtId="0" fontId="56" fillId="30" borderId="0" xfId="0" applyFont="1" applyFill="1" applyBorder="1" applyAlignment="1">
      <alignment horizontal="center" vertical="center"/>
    </xf>
    <xf numFmtId="0" fontId="56" fillId="30" borderId="113" xfId="0" applyFont="1" applyFill="1" applyBorder="1" applyAlignment="1">
      <alignment horizontal="center" vertical="center"/>
    </xf>
    <xf numFmtId="2" fontId="3" fillId="26" borderId="128" xfId="4" applyNumberFormat="1" applyFont="1" applyBorder="1" applyAlignment="1">
      <alignment horizontal="center" vertical="center"/>
    </xf>
    <xf numFmtId="2" fontId="48" fillId="26" borderId="128" xfId="4" applyNumberFormat="1" applyBorder="1" applyAlignment="1">
      <alignment horizontal="center" vertical="center"/>
    </xf>
    <xf numFmtId="2" fontId="3" fillId="26" borderId="130" xfId="4" applyNumberFormat="1" applyFont="1" applyBorder="1" applyAlignment="1">
      <alignment horizontal="center" vertical="center"/>
    </xf>
    <xf numFmtId="2" fontId="48" fillId="26" borderId="130" xfId="4" applyNumberFormat="1" applyBorder="1" applyAlignment="1">
      <alignment horizontal="center" vertical="center"/>
    </xf>
    <xf numFmtId="1" fontId="48" fillId="26" borderId="129" xfId="4" applyNumberFormat="1" applyBorder="1" applyAlignment="1">
      <alignment horizontal="center" vertical="center"/>
    </xf>
    <xf numFmtId="0" fontId="56" fillId="30" borderId="118" xfId="0" applyFont="1" applyFill="1" applyBorder="1" applyAlignment="1">
      <alignment horizontal="center" vertical="center"/>
    </xf>
    <xf numFmtId="0" fontId="56" fillId="44" borderId="132" xfId="10" applyFont="1" applyAlignment="1">
      <alignment horizontal="center"/>
    </xf>
    <xf numFmtId="1" fontId="48" fillId="26" borderId="130" xfId="4" applyNumberFormat="1" applyBorder="1" applyAlignment="1">
      <alignment horizontal="center" vertical="center"/>
    </xf>
    <xf numFmtId="1" fontId="48" fillId="26" borderId="181" xfId="4" applyNumberFormat="1" applyBorder="1" applyAlignment="1">
      <alignment horizontal="center" vertical="center"/>
    </xf>
    <xf numFmtId="1" fontId="48" fillId="26" borderId="182" xfId="4" applyNumberFormat="1" applyBorder="1" applyAlignment="1">
      <alignment horizontal="center" vertical="center"/>
    </xf>
    <xf numFmtId="1" fontId="55" fillId="23" borderId="181" xfId="1" applyNumberFormat="1" applyFont="1" applyBorder="1" applyAlignment="1" applyProtection="1">
      <alignment horizontal="center" vertical="center" wrapText="1"/>
      <protection hidden="1"/>
    </xf>
    <xf numFmtId="1" fontId="55" fillId="23" borderId="222" xfId="1" applyNumberFormat="1" applyFont="1" applyBorder="1" applyAlignment="1" applyProtection="1">
      <alignment horizontal="center" vertical="center" wrapText="1"/>
      <protection hidden="1"/>
    </xf>
    <xf numFmtId="0" fontId="70" fillId="29" borderId="144" xfId="0" applyFont="1" applyFill="1" applyBorder="1" applyAlignment="1">
      <alignment horizontal="center" vertical="center" wrapText="1"/>
    </xf>
    <xf numFmtId="0" fontId="70" fillId="29" borderId="219" xfId="0" applyFont="1" applyFill="1" applyBorder="1" applyAlignment="1">
      <alignment horizontal="center" vertical="center" wrapText="1"/>
    </xf>
    <xf numFmtId="0" fontId="72" fillId="30" borderId="220" xfId="5" applyFont="1" applyFill="1" applyBorder="1" applyAlignment="1">
      <alignment horizontal="center" vertical="center" wrapText="1"/>
    </xf>
    <xf numFmtId="0" fontId="72" fillId="30" borderId="221" xfId="5" applyFont="1" applyFill="1" applyBorder="1" applyAlignment="1">
      <alignment horizontal="center" vertical="center" wrapText="1"/>
    </xf>
    <xf numFmtId="1" fontId="55" fillId="23" borderId="182" xfId="1" applyNumberFormat="1" applyFont="1" applyBorder="1" applyAlignment="1" applyProtection="1">
      <alignment horizontal="center" vertical="center" wrapText="1"/>
      <protection hidden="1"/>
    </xf>
    <xf numFmtId="1" fontId="3" fillId="26" borderId="181" xfId="4" applyNumberFormat="1" applyFont="1" applyBorder="1" applyAlignment="1">
      <alignment horizontal="center" vertical="center"/>
    </xf>
    <xf numFmtId="1" fontId="3" fillId="26" borderId="182" xfId="4" applyNumberFormat="1" applyFont="1" applyBorder="1" applyAlignment="1">
      <alignment horizontal="center" vertical="center"/>
    </xf>
    <xf numFmtId="1" fontId="48" fillId="26" borderId="217" xfId="4" applyNumberFormat="1" applyBorder="1" applyAlignment="1">
      <alignment horizontal="center" vertical="center"/>
    </xf>
    <xf numFmtId="1" fontId="48" fillId="26" borderId="218" xfId="4" applyNumberFormat="1" applyBorder="1" applyAlignment="1">
      <alignment horizontal="center" vertical="center"/>
    </xf>
    <xf numFmtId="0" fontId="77" fillId="36" borderId="117" xfId="0" applyFont="1" applyFill="1" applyBorder="1" applyAlignment="1">
      <alignment horizontal="center" vertical="center"/>
    </xf>
    <xf numFmtId="0" fontId="77" fillId="36" borderId="118" xfId="0" applyFont="1" applyFill="1" applyBorder="1" applyAlignment="1">
      <alignment horizontal="center" vertical="center"/>
    </xf>
    <xf numFmtId="2" fontId="55" fillId="23" borderId="181" xfId="1" applyNumberFormat="1" applyFont="1" applyBorder="1" applyAlignment="1" applyProtection="1">
      <alignment horizontal="center" vertical="center" wrapText="1"/>
      <protection hidden="1"/>
    </xf>
    <xf numFmtId="2" fontId="55" fillId="23" borderId="182" xfId="1" applyNumberFormat="1" applyFont="1" applyBorder="1" applyAlignment="1" applyProtection="1">
      <alignment horizontal="center" vertical="center" wrapText="1"/>
      <protection hidden="1"/>
    </xf>
    <xf numFmtId="2" fontId="48" fillId="26" borderId="181" xfId="4" applyNumberFormat="1" applyBorder="1" applyAlignment="1">
      <alignment horizontal="center" vertical="center" wrapText="1"/>
    </xf>
    <xf numFmtId="2" fontId="48" fillId="26" borderId="182" xfId="4" applyNumberFormat="1" applyBorder="1" applyAlignment="1">
      <alignment horizontal="center" vertical="center" wrapText="1"/>
    </xf>
    <xf numFmtId="1" fontId="2" fillId="26" borderId="130" xfId="4" applyNumberFormat="1" applyFont="1" applyBorder="1" applyAlignment="1">
      <alignment horizontal="center" vertical="center"/>
    </xf>
    <xf numFmtId="2" fontId="2" fillId="26" borderId="128" xfId="4" applyNumberFormat="1" applyFont="1" applyBorder="1" applyAlignment="1">
      <alignment horizontal="center" vertical="center"/>
    </xf>
    <xf numFmtId="2" fontId="7" fillId="26" borderId="128" xfId="4" applyNumberFormat="1" applyFont="1" applyBorder="1" applyAlignment="1">
      <alignment horizontal="center" vertical="center"/>
    </xf>
    <xf numFmtId="1" fontId="48" fillId="26" borderId="139" xfId="4" applyNumberFormat="1" applyBorder="1" applyAlignment="1">
      <alignment horizontal="center" vertical="center"/>
    </xf>
    <xf numFmtId="1" fontId="48" fillId="26" borderId="141" xfId="4" applyNumberFormat="1" applyBorder="1" applyAlignment="1">
      <alignment horizontal="center" vertical="center"/>
    </xf>
    <xf numFmtId="1" fontId="48" fillId="26" borderId="140" xfId="4" applyNumberFormat="1" applyBorder="1" applyAlignment="1">
      <alignment horizontal="center" vertical="center"/>
    </xf>
    <xf numFmtId="1" fontId="55" fillId="23" borderId="0" xfId="1" applyNumberFormat="1" applyFont="1" applyBorder="1" applyAlignment="1" applyProtection="1">
      <alignment horizontal="center" vertical="center" wrapText="1"/>
      <protection hidden="1"/>
    </xf>
    <xf numFmtId="2" fontId="6" fillId="26" borderId="124" xfId="4" applyNumberFormat="1" applyFont="1" applyBorder="1" applyAlignment="1">
      <alignment horizontal="center" vertical="center"/>
    </xf>
    <xf numFmtId="2" fontId="6" fillId="26" borderId="125" xfId="4" applyNumberFormat="1" applyFont="1" applyBorder="1" applyAlignment="1">
      <alignment horizontal="center" vertical="center"/>
    </xf>
    <xf numFmtId="2" fontId="6" fillId="26" borderId="158" xfId="4" applyNumberFormat="1" applyFont="1" applyBorder="1" applyAlignment="1">
      <alignment horizontal="center" vertical="center"/>
    </xf>
    <xf numFmtId="2" fontId="55" fillId="23" borderId="118" xfId="1" applyNumberFormat="1" applyFont="1" applyBorder="1" applyAlignment="1" applyProtection="1">
      <alignment horizontal="center" vertical="center" wrapText="1"/>
      <protection hidden="1"/>
    </xf>
    <xf numFmtId="2" fontId="55" fillId="23" borderId="0" xfId="1" applyNumberFormat="1" applyFont="1" applyBorder="1" applyAlignment="1" applyProtection="1">
      <alignment horizontal="center" vertical="center" wrapText="1"/>
      <protection hidden="1"/>
    </xf>
    <xf numFmtId="2" fontId="55" fillId="23" borderId="115" xfId="1" applyNumberFormat="1" applyFont="1" applyBorder="1" applyAlignment="1" applyProtection="1">
      <alignment horizontal="center" vertical="center" wrapText="1"/>
      <protection hidden="1"/>
    </xf>
    <xf numFmtId="2" fontId="6" fillId="26" borderId="131" xfId="4" applyNumberFormat="1" applyFont="1" applyBorder="1" applyAlignment="1">
      <alignment horizontal="center" vertical="center"/>
    </xf>
    <xf numFmtId="2" fontId="55" fillId="23" borderId="125" xfId="1" applyNumberFormat="1" applyFont="1" applyBorder="1" applyAlignment="1" applyProtection="1">
      <alignment horizontal="center" vertical="center" wrapText="1"/>
      <protection hidden="1"/>
    </xf>
    <xf numFmtId="0" fontId="56" fillId="3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6" fillId="44" borderId="159" xfId="10" applyFont="1" applyBorder="1" applyAlignment="1">
      <alignment horizontal="center"/>
    </xf>
    <xf numFmtId="0" fontId="56" fillId="44" borderId="160" xfId="10" applyFont="1" applyBorder="1" applyAlignment="1">
      <alignment horizontal="center"/>
    </xf>
    <xf numFmtId="0" fontId="56" fillId="44" borderId="161" xfId="10" applyFont="1" applyBorder="1" applyAlignment="1">
      <alignment horizontal="center"/>
    </xf>
    <xf numFmtId="0" fontId="30" fillId="22" borderId="169" xfId="0" applyFont="1" applyFill="1" applyBorder="1" applyAlignment="1">
      <alignment horizontal="center"/>
    </xf>
    <xf numFmtId="0" fontId="30" fillId="22" borderId="86" xfId="0" applyFont="1" applyFill="1" applyBorder="1" applyAlignment="1">
      <alignment horizontal="center"/>
    </xf>
    <xf numFmtId="0" fontId="0" fillId="0" borderId="88" xfId="0" applyBorder="1" applyAlignment="1">
      <alignment horizontal="center"/>
    </xf>
    <xf numFmtId="0" fontId="30" fillId="22" borderId="167" xfId="0" applyFont="1" applyFill="1" applyBorder="1" applyAlignment="1">
      <alignment horizontal="center"/>
    </xf>
    <xf numFmtId="0" fontId="30" fillId="22" borderId="168" xfId="0" applyFont="1" applyFill="1" applyBorder="1" applyAlignment="1">
      <alignment horizontal="center"/>
    </xf>
    <xf numFmtId="0" fontId="74" fillId="28" borderId="115" xfId="6" applyFont="1" applyBorder="1" applyAlignment="1">
      <alignment horizontal="center" vertical="center"/>
    </xf>
    <xf numFmtId="164" fontId="42" fillId="8" borderId="0" xfId="0" applyNumberFormat="1" applyFont="1" applyFill="1" applyBorder="1" applyAlignment="1">
      <alignment horizontal="center" vertical="center"/>
    </xf>
    <xf numFmtId="170" fontId="40" fillId="21" borderId="0" xfId="0" applyNumberFormat="1" applyFont="1" applyFill="1" applyBorder="1" applyAlignment="1">
      <alignment horizontal="center" vertical="center"/>
    </xf>
    <xf numFmtId="0" fontId="84" fillId="44" borderId="179" xfId="13" applyAlignment="1">
      <alignment horizontal="center" vertical="center" wrapText="1"/>
    </xf>
    <xf numFmtId="0" fontId="84" fillId="44" borderId="179" xfId="13" applyAlignment="1">
      <alignment horizontal="center" vertical="center"/>
    </xf>
    <xf numFmtId="0" fontId="49" fillId="41" borderId="196" xfId="8" applyBorder="1" applyAlignment="1">
      <alignment horizontal="center" vertical="center" wrapText="1"/>
    </xf>
    <xf numFmtId="0" fontId="49" fillId="41" borderId="195" xfId="8" applyBorder="1" applyAlignment="1">
      <alignment horizontal="center" vertical="center" wrapText="1"/>
    </xf>
    <xf numFmtId="164" fontId="42" fillId="8" borderId="43" xfId="0" applyNumberFormat="1" applyFont="1" applyFill="1" applyBorder="1" applyAlignment="1">
      <alignment horizontal="center" vertical="center"/>
    </xf>
    <xf numFmtId="164" fontId="42" fillId="8" borderId="89" xfId="0" applyNumberFormat="1" applyFont="1" applyFill="1" applyBorder="1" applyAlignment="1">
      <alignment horizontal="center" vertical="center"/>
    </xf>
    <xf numFmtId="164" fontId="42" fillId="8" borderId="90" xfId="0" applyNumberFormat="1" applyFont="1" applyFill="1" applyBorder="1" applyAlignment="1">
      <alignment horizontal="center" vertical="center"/>
    </xf>
    <xf numFmtId="164" fontId="42" fillId="8" borderId="47" xfId="0" applyNumberFormat="1" applyFont="1" applyFill="1" applyBorder="1" applyAlignment="1">
      <alignment horizontal="center" vertical="center"/>
    </xf>
    <xf numFmtId="164" fontId="42" fillId="8" borderId="174" xfId="0" applyNumberFormat="1" applyFont="1" applyFill="1" applyBorder="1" applyAlignment="1">
      <alignment horizontal="center" vertical="center"/>
    </xf>
    <xf numFmtId="0" fontId="49" fillId="41" borderId="178" xfId="8" applyBorder="1" applyAlignment="1">
      <alignment horizontal="center" vertical="center" wrapText="1"/>
    </xf>
    <xf numFmtId="0" fontId="49" fillId="41" borderId="190" xfId="8" applyBorder="1" applyAlignment="1">
      <alignment horizontal="center" vertical="center" wrapText="1"/>
    </xf>
    <xf numFmtId="0" fontId="83" fillId="49" borderId="177" xfId="12" applyFont="1" applyBorder="1" applyAlignment="1">
      <alignment horizontal="center" vertical="center" wrapText="1"/>
    </xf>
    <xf numFmtId="0" fontId="83" fillId="49" borderId="194" xfId="12" applyFont="1" applyBorder="1" applyAlignment="1">
      <alignment horizontal="center" vertical="center" wrapText="1"/>
    </xf>
    <xf numFmtId="0" fontId="105" fillId="28" borderId="0" xfId="6" applyFont="1" applyAlignment="1">
      <alignment horizontal="center" vertical="center"/>
    </xf>
    <xf numFmtId="0" fontId="81" fillId="35" borderId="0" xfId="0" applyFont="1" applyFill="1" applyBorder="1" applyAlignment="1">
      <alignment horizontal="center" wrapText="1"/>
    </xf>
    <xf numFmtId="0" fontId="84" fillId="44" borderId="207" xfId="13" applyBorder="1" applyAlignment="1">
      <alignment horizontal="center"/>
    </xf>
    <xf numFmtId="0" fontId="84" fillId="44" borderId="204" xfId="13" applyBorder="1" applyAlignment="1">
      <alignment horizontal="center"/>
    </xf>
    <xf numFmtId="0" fontId="84" fillId="44" borderId="183" xfId="13" applyBorder="1" applyAlignment="1">
      <alignment horizontal="center"/>
    </xf>
    <xf numFmtId="0" fontId="84" fillId="44" borderId="185" xfId="13" applyBorder="1" applyAlignment="1">
      <alignment horizontal="center"/>
    </xf>
    <xf numFmtId="0" fontId="84" fillId="44" borderId="184" xfId="13" applyBorder="1" applyAlignment="1">
      <alignment horizontal="center"/>
    </xf>
    <xf numFmtId="0" fontId="96" fillId="41" borderId="200" xfId="8" applyFont="1" applyBorder="1" applyAlignment="1">
      <alignment horizontal="center" vertical="center"/>
    </xf>
    <xf numFmtId="0" fontId="8" fillId="0" borderId="201" xfId="0" applyFont="1" applyBorder="1" applyAlignment="1">
      <alignment vertical="center"/>
    </xf>
    <xf numFmtId="0" fontId="8" fillId="0" borderId="197" xfId="0" applyFont="1" applyBorder="1" applyAlignment="1">
      <alignment vertical="center"/>
    </xf>
    <xf numFmtId="0" fontId="84" fillId="44" borderId="205" xfId="13" applyBorder="1" applyAlignment="1">
      <alignment horizontal="left" vertical="center" wrapText="1"/>
    </xf>
    <xf numFmtId="0" fontId="84" fillId="44" borderId="206" xfId="13" applyBorder="1" applyAlignment="1">
      <alignment horizontal="left" vertical="center" wrapText="1"/>
    </xf>
    <xf numFmtId="0" fontId="84" fillId="44" borderId="183" xfId="13" applyBorder="1" applyAlignment="1">
      <alignment horizontal="center" vertical="center" wrapText="1"/>
    </xf>
    <xf numFmtId="0" fontId="84" fillId="44" borderId="185" xfId="13" applyBorder="1" applyAlignment="1">
      <alignment horizontal="center" vertical="center" wrapText="1"/>
    </xf>
    <xf numFmtId="0" fontId="37" fillId="2" borderId="22" xfId="0" applyFont="1" applyFill="1" applyBorder="1" applyAlignment="1">
      <alignment horizontal="center"/>
    </xf>
    <xf numFmtId="0" fontId="37" fillId="2" borderId="0" xfId="0" applyFont="1" applyFill="1" applyBorder="1" applyAlignment="1">
      <alignment horizontal="center"/>
    </xf>
    <xf numFmtId="0" fontId="49" fillId="41" borderId="200" xfId="8" applyBorder="1" applyAlignment="1">
      <alignment horizontal="center" vertical="center" wrapText="1"/>
    </xf>
    <xf numFmtId="0" fontId="49" fillId="41" borderId="201" xfId="8" applyBorder="1" applyAlignment="1">
      <alignment horizontal="center" vertical="center" wrapText="1"/>
    </xf>
    <xf numFmtId="0" fontId="49" fillId="41" borderId="197" xfId="8" applyBorder="1" applyAlignment="1">
      <alignment horizontal="center" vertical="center" wrapText="1"/>
    </xf>
    <xf numFmtId="0" fontId="84" fillId="44" borderId="211" xfId="13" applyBorder="1" applyAlignment="1">
      <alignment horizontal="center" vertical="center" wrapText="1"/>
    </xf>
    <xf numFmtId="0" fontId="91" fillId="36" borderId="104" xfId="0" applyFont="1" applyFill="1" applyBorder="1" applyAlignment="1">
      <alignment horizontal="center" vertical="center"/>
    </xf>
    <xf numFmtId="0" fontId="91" fillId="36" borderId="105" xfId="0" applyFont="1" applyFill="1" applyBorder="1" applyAlignment="1">
      <alignment horizontal="center" vertical="center"/>
    </xf>
    <xf numFmtId="0" fontId="91" fillId="36" borderId="106" xfId="0" applyFont="1" applyFill="1" applyBorder="1" applyAlignment="1">
      <alignment horizontal="center" vertical="center"/>
    </xf>
    <xf numFmtId="0" fontId="84" fillId="44" borderId="212" xfId="13" applyBorder="1" applyAlignment="1">
      <alignment horizontal="center" vertical="center" wrapText="1"/>
    </xf>
    <xf numFmtId="0" fontId="84" fillId="44" borderId="213" xfId="13" applyBorder="1" applyAlignment="1">
      <alignment horizontal="center" vertical="center" wrapText="1"/>
    </xf>
    <xf numFmtId="0" fontId="84" fillId="44" borderId="214" xfId="13" applyBorder="1" applyAlignment="1">
      <alignment horizontal="center" vertical="center" wrapText="1"/>
    </xf>
    <xf numFmtId="0" fontId="84" fillId="44" borderId="215" xfId="13" applyBorder="1" applyAlignment="1">
      <alignment horizontal="center" vertical="center" wrapText="1"/>
    </xf>
    <xf numFmtId="0" fontId="94" fillId="44" borderId="179" xfId="13" applyFont="1" applyAlignment="1">
      <alignment horizontal="center"/>
    </xf>
    <xf numFmtId="0" fontId="84" fillId="44" borderId="189" xfId="13" applyBorder="1" applyAlignment="1">
      <alignment horizontal="center" vertical="center" wrapText="1"/>
    </xf>
    <xf numFmtId="0" fontId="84" fillId="44" borderId="184" xfId="13" applyBorder="1" applyAlignment="1">
      <alignment horizontal="center" vertical="center" wrapText="1"/>
    </xf>
    <xf numFmtId="0" fontId="84" fillId="44" borderId="188" xfId="13" applyBorder="1" applyAlignment="1">
      <alignment horizontal="center" vertical="center" wrapText="1"/>
    </xf>
    <xf numFmtId="0" fontId="84" fillId="44" borderId="187" xfId="13" applyBorder="1" applyAlignment="1">
      <alignment horizontal="center" vertical="center" wrapText="1"/>
    </xf>
    <xf numFmtId="0" fontId="84" fillId="44" borderId="183" xfId="13" applyBorder="1" applyAlignment="1">
      <alignment horizontal="left" vertical="center" wrapText="1"/>
    </xf>
    <xf numFmtId="0" fontId="84" fillId="44" borderId="185" xfId="13" applyBorder="1" applyAlignment="1">
      <alignment horizontal="left" vertical="center" wrapText="1"/>
    </xf>
    <xf numFmtId="0" fontId="84" fillId="44" borderId="184" xfId="13" applyBorder="1" applyAlignment="1">
      <alignment horizontal="left" vertical="center" wrapText="1"/>
    </xf>
    <xf numFmtId="0" fontId="23" fillId="0" borderId="44" xfId="7" applyFont="1" applyBorder="1" applyAlignment="1" applyProtection="1">
      <alignment horizontal="center" vertical="center" wrapText="1"/>
      <protection hidden="1"/>
    </xf>
    <xf numFmtId="0" fontId="24" fillId="0" borderId="84" xfId="7" applyFont="1" applyBorder="1" applyAlignment="1" applyProtection="1">
      <alignment horizontal="center" vertical="center" wrapText="1"/>
      <protection hidden="1"/>
    </xf>
    <xf numFmtId="0" fontId="24" fillId="0" borderId="46" xfId="7" applyFont="1" applyBorder="1" applyAlignment="1" applyProtection="1">
      <alignment horizontal="center" vertical="center" wrapText="1"/>
      <protection hidden="1"/>
    </xf>
    <xf numFmtId="0" fontId="23" fillId="0" borderId="0" xfId="0" applyFont="1" applyAlignment="1" applyProtection="1">
      <alignment horizontal="center"/>
      <protection hidden="1"/>
    </xf>
    <xf numFmtId="0" fontId="1" fillId="26" borderId="49" xfId="4" applyFont="1" applyBorder="1" applyAlignment="1">
      <alignment wrapText="1"/>
    </xf>
    <xf numFmtId="2" fontId="1" fillId="26" borderId="107" xfId="4" applyNumberFormat="1" applyFont="1" applyBorder="1" applyAlignment="1">
      <alignment horizontal="center" vertical="center"/>
    </xf>
    <xf numFmtId="2" fontId="1" fillId="26" borderId="107" xfId="4" applyNumberFormat="1" applyFont="1" applyBorder="1" applyAlignment="1">
      <alignment horizontal="center" vertical="center" wrapText="1"/>
    </xf>
    <xf numFmtId="2" fontId="1" fillId="26" borderId="0" xfId="4" applyNumberFormat="1" applyFont="1" applyBorder="1" applyAlignment="1">
      <alignment horizontal="center" vertical="center"/>
    </xf>
    <xf numFmtId="0" fontId="1" fillId="26" borderId="52" xfId="4" applyFont="1" applyBorder="1"/>
  </cellXfs>
  <cellStyles count="15">
    <cellStyle name="20% - Énfasis1" xfId="1" builtinId="30"/>
    <cellStyle name="20% - Énfasis3" xfId="2" builtinId="38"/>
    <cellStyle name="40% - Énfasis1" xfId="3" builtinId="31"/>
    <cellStyle name="40% - Énfasis3" xfId="4" builtinId="39"/>
    <cellStyle name="40% - Énfasis4" xfId="12" builtinId="43"/>
    <cellStyle name="60% - Énfasis4" xfId="9" builtinId="44"/>
    <cellStyle name="Cálculo" xfId="10" builtinId="22"/>
    <cellStyle name="Énfasis1" xfId="5" builtinId="29"/>
    <cellStyle name="Énfasis2" xfId="8" builtinId="33"/>
    <cellStyle name="Énfasis4" xfId="11" builtinId="41"/>
    <cellStyle name="Hipervínculo" xfId="14" builtinId="8"/>
    <cellStyle name="Neutral" xfId="6" builtinId="28"/>
    <cellStyle name="Normal" xfId="0" builtinId="0"/>
    <cellStyle name="Normal_Radiación" xfId="7"/>
    <cellStyle name="Salida" xfId="13" builtin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6.0443808160343587E-2"/>
          <c:y val="1.6295006392810871E-2"/>
          <c:w val="0.92756217992423307"/>
          <c:h val="0.88748220490521068"/>
        </c:manualLayout>
      </c:layout>
      <c:barChart>
        <c:barDir val="col"/>
        <c:grouping val="clustered"/>
        <c:ser>
          <c:idx val="0"/>
          <c:order val="0"/>
          <c:tx>
            <c:strRef>
              <c:f>Gráficos!$S$8</c:f>
              <c:strCache>
                <c:ptCount val="1"/>
                <c:pt idx="0">
                  <c:v>Energía Media Diaria Generada en PV (kWh/d)</c:v>
                </c:pt>
              </c:strCache>
            </c:strRef>
          </c:tx>
          <c:cat>
            <c:strRef>
              <c:f>Gráficos!$S$9:$S$20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Gráficos!$T$9:$T$20</c:f>
              <c:numCache>
                <c:formatCode>0.000</c:formatCode>
                <c:ptCount val="12"/>
                <c:pt idx="0">
                  <c:v>93.734693592868425</c:v>
                </c:pt>
                <c:pt idx="1">
                  <c:v>101.85828983535659</c:v>
                </c:pt>
                <c:pt idx="2">
                  <c:v>133.20039679535122</c:v>
                </c:pt>
                <c:pt idx="3">
                  <c:v>130.04843127064782</c:v>
                </c:pt>
                <c:pt idx="4">
                  <c:v>146.66239402741388</c:v>
                </c:pt>
                <c:pt idx="5">
                  <c:v>152.83317844843518</c:v>
                </c:pt>
                <c:pt idx="6">
                  <c:v>163.28742371084866</c:v>
                </c:pt>
                <c:pt idx="7">
                  <c:v>152.20109707889563</c:v>
                </c:pt>
                <c:pt idx="8">
                  <c:v>142.4802699790892</c:v>
                </c:pt>
                <c:pt idx="9">
                  <c:v>106.00582024392364</c:v>
                </c:pt>
                <c:pt idx="10">
                  <c:v>86.288984532483937</c:v>
                </c:pt>
                <c:pt idx="11">
                  <c:v>82.308334616802696</c:v>
                </c:pt>
              </c:numCache>
            </c:numRef>
          </c:val>
        </c:ser>
        <c:ser>
          <c:idx val="1"/>
          <c:order val="1"/>
          <c:tx>
            <c:strRef>
              <c:f>Gráficos!$U$8</c:f>
              <c:strCache>
                <c:ptCount val="1"/>
                <c:pt idx="0">
                  <c:v>Energía Necesaria (kWh/d)</c:v>
                </c:pt>
              </c:strCache>
            </c:strRef>
          </c:tx>
          <c:val>
            <c:numRef>
              <c:f>Gráficos!$U$9:$U$20</c:f>
              <c:numCache>
                <c:formatCode>0.000</c:formatCode>
                <c:ptCount val="12"/>
                <c:pt idx="0">
                  <c:v>92.746151092015765</c:v>
                </c:pt>
                <c:pt idx="1">
                  <c:v>92.746151092015765</c:v>
                </c:pt>
                <c:pt idx="2">
                  <c:v>92.746151092015765</c:v>
                </c:pt>
                <c:pt idx="3">
                  <c:v>92.746151092015765</c:v>
                </c:pt>
                <c:pt idx="4">
                  <c:v>92.746151092015765</c:v>
                </c:pt>
                <c:pt idx="5">
                  <c:v>92.746151092015765</c:v>
                </c:pt>
                <c:pt idx="6">
                  <c:v>92.746151092015765</c:v>
                </c:pt>
                <c:pt idx="7">
                  <c:v>92.746151092015765</c:v>
                </c:pt>
                <c:pt idx="8">
                  <c:v>92.746151092015765</c:v>
                </c:pt>
                <c:pt idx="9">
                  <c:v>92.746151092015765</c:v>
                </c:pt>
                <c:pt idx="10">
                  <c:v>92.746151092015765</c:v>
                </c:pt>
                <c:pt idx="11">
                  <c:v>92.746151092015765</c:v>
                </c:pt>
              </c:numCache>
            </c:numRef>
          </c:val>
        </c:ser>
        <c:ser>
          <c:idx val="2"/>
          <c:order val="2"/>
          <c:tx>
            <c:strRef>
              <c:f>Gráficos!$V$8</c:f>
              <c:strCache>
                <c:ptCount val="1"/>
                <c:pt idx="0">
                  <c:v>Balance de Energía (kWh/d)</c:v>
                </c:pt>
              </c:strCache>
            </c:strRef>
          </c:tx>
          <c:val>
            <c:numRef>
              <c:f>Gráficos!$V$9:$V$20</c:f>
              <c:numCache>
                <c:formatCode>0.000</c:formatCode>
                <c:ptCount val="12"/>
                <c:pt idx="0">
                  <c:v>0.9885425008526596</c:v>
                </c:pt>
                <c:pt idx="1">
                  <c:v>9.1121387433408216</c:v>
                </c:pt>
                <c:pt idx="2">
                  <c:v>40.454245703335459</c:v>
                </c:pt>
                <c:pt idx="3">
                  <c:v>37.30228017863206</c:v>
                </c:pt>
                <c:pt idx="4">
                  <c:v>53.916242935398117</c:v>
                </c:pt>
                <c:pt idx="5">
                  <c:v>60.087027356419412</c:v>
                </c:pt>
                <c:pt idx="6">
                  <c:v>70.541272618832892</c:v>
                </c:pt>
                <c:pt idx="7">
                  <c:v>59.454945986879864</c:v>
                </c:pt>
                <c:pt idx="8">
                  <c:v>49.734118887073436</c:v>
                </c:pt>
                <c:pt idx="9">
                  <c:v>13.259669151907872</c:v>
                </c:pt>
                <c:pt idx="10">
                  <c:v>-6.4571665595318279</c:v>
                </c:pt>
                <c:pt idx="11">
                  <c:v>-10.437816475213069</c:v>
                </c:pt>
              </c:numCache>
            </c:numRef>
          </c:val>
        </c:ser>
        <c:gapWidth val="50"/>
        <c:axId val="56673024"/>
        <c:axId val="56675328"/>
      </c:barChart>
      <c:catAx>
        <c:axId val="5667302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MES</a:t>
                </a:r>
              </a:p>
            </c:rich>
          </c:tx>
          <c:layout/>
        </c:title>
        <c:tickLblPos val="nextTo"/>
        <c:crossAx val="56675328"/>
        <c:crosses val="autoZero"/>
        <c:auto val="1"/>
        <c:lblAlgn val="ctr"/>
        <c:lblOffset val="100"/>
      </c:catAx>
      <c:valAx>
        <c:axId val="566753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kWh/día</a:t>
                </a:r>
              </a:p>
            </c:rich>
          </c:tx>
          <c:layout/>
        </c:title>
        <c:numFmt formatCode="0.0" sourceLinked="0"/>
        <c:tickLblPos val="nextTo"/>
        <c:crossAx val="566730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6.5999942734430925E-2"/>
          <c:y val="1.5618216989914536E-2"/>
          <c:w val="0.9"/>
          <c:h val="5.3487496954810657E-2"/>
        </c:manualLayout>
      </c:layout>
      <c:overlay val="1"/>
      <c:txPr>
        <a:bodyPr/>
        <a:lstStyle/>
        <a:p>
          <a:pPr>
            <a:defRPr sz="1200" baseline="0">
              <a:solidFill>
                <a:sysClr val="windowText" lastClr="000000"/>
              </a:solidFill>
            </a:defRPr>
          </a:pPr>
          <a:endParaRPr lang="es-ES"/>
        </a:p>
      </c:txPr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lang="es-ES" sz="1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COSTE DE COMPONENTES SEGÚN % COSTE DEL CICLO DE VIDA</a:t>
            </a:r>
          </a:p>
        </c:rich>
      </c:tx>
      <c:layout>
        <c:manualLayout>
          <c:xMode val="edge"/>
          <c:yMode val="edge"/>
          <c:x val="0.10958918491353063"/>
          <c:y val="2.871621621621621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7123305813426929"/>
          <c:y val="0.28547320843110624"/>
          <c:w val="0.45753455261033016"/>
          <c:h val="0.56418965453248981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8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0C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4078330366926183E-2"/>
                  <c:y val="-3.4955085728948711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4.6486865408302797E-2"/>
                  <c:y val="3.5554218010205411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9.5034743614500025E-2"/>
                  <c:y val="0.10914561004609608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0.10106892229435555"/>
                  <c:y val="8.6311745203790952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0.10221515529295322"/>
                  <c:y val="-0.10574085638839373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0.16630161993112264"/>
                  <c:y val="-4.155161425595557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4.6074094011948834E-2"/>
                  <c:y val="-4.0619789842547091E-2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 val="-5.3984439730087812E-2"/>
                  <c:y val="-4.690942832103278E-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 val="5.0808786056665903E-2"/>
                  <c:y val="-7.4004627392374914E-2"/>
                </c:manualLayout>
              </c:layout>
              <c:dLblPos val="bestFit"/>
              <c:showCatName val="1"/>
              <c:showPercent val="1"/>
            </c:dLbl>
            <c:dLbl>
              <c:idx val="11"/>
              <c:layout>
                <c:manualLayout>
                  <c:x val="6.2902380223676904E-2"/>
                  <c:y val="-1.9667831956279521E-2"/>
                </c:manualLayout>
              </c:layout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CatName val="1"/>
            <c:showPercent val="1"/>
            <c:showLeaderLines val="1"/>
          </c:dLbls>
          <c:cat>
            <c:strRef>
              <c:f>('Ciclo de vida'!$C$16:$C$19,'Ciclo de vida'!$C$22:$C$25,'Ciclo de vida'!$C$30:$C$33)</c:f>
              <c:strCache>
                <c:ptCount val="12"/>
                <c:pt idx="0">
                  <c:v>Generador PV</c:v>
                </c:pt>
                <c:pt idx="1">
                  <c:v>Baterías</c:v>
                </c:pt>
                <c:pt idx="2">
                  <c:v>Resto del sistema</c:v>
                </c:pt>
                <c:pt idx="3">
                  <c:v>Instalación</c:v>
                </c:pt>
                <c:pt idx="4">
                  <c:v>Inspección Anual</c:v>
                </c:pt>
                <c:pt idx="5">
                  <c:v>Materiales</c:v>
                </c:pt>
                <c:pt idx="6">
                  <c:v>Seguros</c:v>
                </c:pt>
                <c:pt idx="7">
                  <c:v>Otros</c:v>
                </c:pt>
                <c:pt idx="8">
                  <c:v>Banco de Baterías 1º</c:v>
                </c:pt>
                <c:pt idx="9">
                  <c:v>Banco de Baterías 2º</c:v>
                </c:pt>
                <c:pt idx="10">
                  <c:v>Banco de Baterías 3º</c:v>
                </c:pt>
                <c:pt idx="11">
                  <c:v>Regulador de carga</c:v>
                </c:pt>
              </c:strCache>
            </c:strRef>
          </c:cat>
          <c:val>
            <c:numRef>
              <c:f>('Ciclo de vida'!$L$16:$L$19,'Ciclo de vida'!$L$22:$L$25,'Ciclo de vida'!$L$30:$L$33)</c:f>
              <c:numCache>
                <c:formatCode>0.0%</c:formatCode>
                <c:ptCount val="12"/>
                <c:pt idx="0">
                  <c:v>0.37876278255599832</c:v>
                </c:pt>
                <c:pt idx="1">
                  <c:v>7.5752556511199665E-2</c:v>
                </c:pt>
                <c:pt idx="2">
                  <c:v>3.1563565212999863E-2</c:v>
                </c:pt>
                <c:pt idx="3">
                  <c:v>3.7876278255599832E-2</c:v>
                </c:pt>
                <c:pt idx="4">
                  <c:v>7.0437922194413027E-2</c:v>
                </c:pt>
                <c:pt idx="5">
                  <c:v>7.5133783674040569E-2</c:v>
                </c:pt>
                <c:pt idx="6">
                  <c:v>0</c:v>
                </c:pt>
                <c:pt idx="7">
                  <c:v>0</c:v>
                </c:pt>
                <c:pt idx="8">
                  <c:v>0.14202444812796952</c:v>
                </c:pt>
                <c:pt idx="9">
                  <c:v>0.11211541085055973</c:v>
                </c:pt>
                <c:pt idx="10">
                  <c:v>9.9613090412468408E-2</c:v>
                </c:pt>
                <c:pt idx="11">
                  <c:v>9.394502722975661E-3</c:v>
                </c:pt>
              </c:numCache>
            </c:numRef>
          </c:val>
        </c:ser>
        <c:dLbls>
          <c:showCatName val="1"/>
        </c:dLbls>
        <c:firstSliceAng val="2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566" r="0.75000000000000566" t="1" header="0" footer="0"/>
    <c:pageSetup paperSize="9" orientation="landscape" horizontalDpi="200" verticalDpi="20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lang="es-ES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COSTE DE COMPONENTES SEGÚN % COSTE DEL CICLO DE VIDA</a:t>
            </a:r>
          </a:p>
        </c:rich>
      </c:tx>
      <c:layout>
        <c:manualLayout>
          <c:xMode val="edge"/>
          <c:yMode val="edge"/>
          <c:x val="0.14246589724229927"/>
          <c:y val="2.74442538593482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6027414669450094"/>
          <c:y val="0.2452832243005135"/>
          <c:w val="0.47945237548987646"/>
          <c:h val="0.60034355598027778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8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spPr>
              <a:solidFill>
                <a:srgbClr val="C0C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8751741802278048E-2"/>
                  <c:y val="-8.9025702786277305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4.8603711742545512E-2"/>
                  <c:y val="4.800532537968074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0702995376272392"/>
                  <c:y val="9.721917957218025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574058911588591E-2"/>
                  <c:y val="0.12711109492808717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0.18761461908470597"/>
                  <c:y val="3.277139327404411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0.1136002029791336"/>
                  <c:y val="2.2262693443312182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-8.8165669673945096E-2"/>
                  <c:y val="7.3999274436265181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-9.4067067105620933E-2"/>
                  <c:y val="2.8244851543084731E-2"/>
                </c:manualLayout>
              </c:layout>
              <c:dLblPos val="bestFit"/>
              <c:showCatName val="1"/>
              <c:showPercent val="1"/>
            </c:dLbl>
            <c:dLbl>
              <c:idx val="9"/>
              <c:layout>
                <c:manualLayout>
                  <c:x val="-0.11048039533568645"/>
                  <c:y val="-3.0326208027969412E-2"/>
                </c:manualLayout>
              </c:layout>
              <c:dLblPos val="bestFit"/>
              <c:showCatName val="1"/>
              <c:showPercent val="1"/>
            </c:dLbl>
            <c:dLbl>
              <c:idx val="10"/>
              <c:layout>
                <c:manualLayout>
                  <c:x val="-4.6655222608648773E-2"/>
                  <c:y val="-6.3068672155956823E-2"/>
                </c:manualLayout>
              </c:layout>
              <c:dLblPos val="bestFit"/>
              <c:showCatName val="1"/>
              <c:showPercent val="1"/>
            </c:dLbl>
            <c:dLbl>
              <c:idx val="11"/>
              <c:layout>
                <c:manualLayout>
                  <c:x val="-7.9647545622592228E-3"/>
                  <c:y val="-0.11035769142411538"/>
                </c:manualLayout>
              </c:layout>
              <c:dLblPos val="bestFit"/>
              <c:showCatName val="1"/>
              <c:showPercent val="1"/>
            </c:dLbl>
            <c:dLbl>
              <c:idx val="12"/>
              <c:layout>
                <c:manualLayout>
                  <c:x val="0.24173642221796729"/>
                  <c:y val="-0.10460935915325746"/>
                </c:manualLayout>
              </c:layout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s-ES"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CatName val="1"/>
            <c:showPercent val="1"/>
            <c:showLeaderLines val="1"/>
          </c:dLbls>
          <c:cat>
            <c:strRef>
              <c:f>('Ciclo de vida'!$C$50,'Ciclo de vida'!$C$53:$C$57,'Ciclo de vida'!$C$61,'Ciclo de vida'!$C$64:$C$69)</c:f>
              <c:strCache>
                <c:ptCount val="13"/>
                <c:pt idx="0">
                  <c:v>Generador Diesel</c:v>
                </c:pt>
                <c:pt idx="1">
                  <c:v>Mano de Obra</c:v>
                </c:pt>
                <c:pt idx="2">
                  <c:v>Inspección Anual</c:v>
                </c:pt>
                <c:pt idx="3">
                  <c:v>Materiales</c:v>
                </c:pt>
                <c:pt idx="4">
                  <c:v>Seguros</c:v>
                </c:pt>
                <c:pt idx="5">
                  <c:v>Otros</c:v>
                </c:pt>
                <c:pt idx="6">
                  <c:v>Combustible</c:v>
                </c:pt>
                <c:pt idx="7">
                  <c:v>Banco de Baterías 1°</c:v>
                </c:pt>
                <c:pt idx="8">
                  <c:v>Banco de Baterías 2°</c:v>
                </c:pt>
                <c:pt idx="9">
                  <c:v>Banco de Baterías 3°</c:v>
                </c:pt>
                <c:pt idx="10">
                  <c:v>1er Reajuste Generador </c:v>
                </c:pt>
                <c:pt idx="11">
                  <c:v>2º Reajuste Generador</c:v>
                </c:pt>
                <c:pt idx="12">
                  <c:v>3er Reajuste Generador</c:v>
                </c:pt>
              </c:strCache>
            </c:strRef>
          </c:cat>
          <c:val>
            <c:numRef>
              <c:f>('Ciclo de vida'!$L$50,'Ciclo de vida'!$L$53:$L$57,'Ciclo de vida'!$L$61,'Ciclo de vida'!$L$64:$L$69)</c:f>
              <c:numCache>
                <c:formatCode>0.0%</c:formatCode>
                <c:ptCount val="13"/>
                <c:pt idx="0">
                  <c:v>0.42618011953153667</c:v>
                </c:pt>
                <c:pt idx="1">
                  <c:v>9.7545907913174773E-2</c:v>
                </c:pt>
                <c:pt idx="2">
                  <c:v>6.0966192445734244E-2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0.17868348249518881</c:v>
                </c:pt>
                <c:pt idx="7">
                  <c:v>6.4698177276771546E-2</c:v>
                </c:pt>
                <c:pt idx="8">
                  <c:v>5.1073338585563496E-2</c:v>
                </c:pt>
                <c:pt idx="9">
                  <c:v>0</c:v>
                </c:pt>
                <c:pt idx="10">
                  <c:v>5.6557956128891793E-2</c:v>
                </c:pt>
                <c:pt idx="11">
                  <c:v>4.8787389783596216E-2</c:v>
                </c:pt>
                <c:pt idx="12">
                  <c:v>4.2084430994504318E-2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566" r="0.750000000000005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518582</xdr:colOff>
      <xdr:row>5</xdr:row>
      <xdr:rowOff>63498</xdr:rowOff>
    </xdr:from>
    <xdr:to>
      <xdr:col>14</xdr:col>
      <xdr:colOff>10582</xdr:colOff>
      <xdr:row>26</xdr:row>
      <xdr:rowOff>31749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11</xdr:row>
      <xdr:rowOff>38100</xdr:rowOff>
    </xdr:from>
    <xdr:to>
      <xdr:col>20</xdr:col>
      <xdr:colOff>647700</xdr:colOff>
      <xdr:row>38</xdr:row>
      <xdr:rowOff>142875</xdr:rowOff>
    </xdr:to>
    <xdr:graphicFrame macro="">
      <xdr:nvGraphicFramePr>
        <xdr:cNvPr id="735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133350</xdr:colOff>
      <xdr:row>45</xdr:row>
      <xdr:rowOff>38100</xdr:rowOff>
    </xdr:from>
    <xdr:to>
      <xdr:col>20</xdr:col>
      <xdr:colOff>647700</xdr:colOff>
      <xdr:row>75</xdr:row>
      <xdr:rowOff>57150</xdr:rowOff>
    </xdr:to>
    <xdr:graphicFrame macro="">
      <xdr:nvGraphicFramePr>
        <xdr:cNvPr id="736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>
    <pageSetUpPr fitToPage="1"/>
  </sheetPr>
  <dimension ref="A1:P92"/>
  <sheetViews>
    <sheetView showGridLines="0" tabSelected="1" defaultGridColor="0" topLeftCell="A4" colorId="51" zoomScale="70" zoomScaleNormal="70" zoomScaleSheetLayoutView="75" workbookViewId="0">
      <selection activeCell="K15" sqref="K15"/>
    </sheetView>
  </sheetViews>
  <sheetFormatPr baseColWidth="10" defaultRowHeight="12.75" outlineLevelRow="2"/>
  <cols>
    <col min="1" max="1" width="6.7109375" customWidth="1"/>
    <col min="2" max="2" width="8.7109375" customWidth="1"/>
    <col min="3" max="3" width="35.28515625" customWidth="1"/>
    <col min="4" max="4" width="15.7109375" customWidth="1"/>
    <col min="5" max="6" width="16.7109375" customWidth="1"/>
    <col min="7" max="7" width="18.28515625" customWidth="1"/>
    <col min="8" max="8" width="16.7109375" customWidth="1"/>
    <col min="9" max="9" width="18.5703125" customWidth="1"/>
    <col min="10" max="11" width="16.7109375" customWidth="1"/>
    <col min="12" max="12" width="16.140625" customWidth="1"/>
    <col min="13" max="14" width="8.7109375" customWidth="1"/>
  </cols>
  <sheetData>
    <row r="1" spans="1:16" ht="18.75" customHeight="1" thickTop="1">
      <c r="A1" s="233"/>
      <c r="B1" s="234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40"/>
      <c r="N1" s="233"/>
      <c r="O1" s="233"/>
      <c r="P1" s="233"/>
    </row>
    <row r="2" spans="1:16" ht="15">
      <c r="A2" s="233"/>
      <c r="B2" s="236"/>
      <c r="C2" s="237" t="s">
        <v>49</v>
      </c>
      <c r="D2" s="241"/>
      <c r="E2" s="546" t="s">
        <v>422</v>
      </c>
      <c r="F2" s="547"/>
      <c r="G2" s="547"/>
      <c r="H2" s="237" t="s">
        <v>50</v>
      </c>
      <c r="I2" s="241"/>
      <c r="J2" s="548" t="s">
        <v>422</v>
      </c>
      <c r="K2" s="548"/>
      <c r="L2" s="548"/>
      <c r="M2" s="245"/>
      <c r="N2" s="233"/>
      <c r="O2" s="233"/>
      <c r="P2" s="233"/>
    </row>
    <row r="3" spans="1:16">
      <c r="A3" s="233"/>
      <c r="B3" s="236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44"/>
      <c r="N3" s="233"/>
      <c r="O3" s="233"/>
      <c r="P3" s="233"/>
    </row>
    <row r="4" spans="1:16" ht="15">
      <c r="A4" s="233"/>
      <c r="B4" s="236"/>
      <c r="C4" s="237" t="s">
        <v>51</v>
      </c>
      <c r="D4" s="241"/>
      <c r="E4" s="548" t="s">
        <v>422</v>
      </c>
      <c r="F4" s="549"/>
      <c r="G4" s="549"/>
      <c r="H4" s="237" t="s">
        <v>52</v>
      </c>
      <c r="I4" s="241"/>
      <c r="J4" s="550" t="s">
        <v>422</v>
      </c>
      <c r="K4" s="550"/>
      <c r="L4" s="550"/>
      <c r="M4" s="246"/>
      <c r="N4" s="233"/>
      <c r="O4" s="233"/>
      <c r="P4" s="233"/>
    </row>
    <row r="5" spans="1:16" ht="20.25">
      <c r="A5" s="233"/>
      <c r="B5" s="236"/>
      <c r="C5" s="296" t="s">
        <v>502</v>
      </c>
      <c r="D5" s="238"/>
      <c r="E5" s="238"/>
      <c r="F5" s="238"/>
      <c r="G5" s="238"/>
      <c r="H5" s="238"/>
      <c r="I5" s="238"/>
      <c r="J5" s="238"/>
      <c r="K5" s="238"/>
      <c r="L5" s="238"/>
      <c r="M5" s="244"/>
      <c r="N5" s="233"/>
      <c r="O5" s="233"/>
      <c r="P5" s="233"/>
    </row>
    <row r="6" spans="1:16" ht="20.25">
      <c r="A6" s="233"/>
      <c r="B6" s="236"/>
      <c r="C6" s="239"/>
      <c r="D6" s="238"/>
      <c r="E6" s="238"/>
      <c r="F6" s="238"/>
      <c r="G6" s="238"/>
      <c r="H6" s="238"/>
      <c r="I6" s="555" t="s">
        <v>441</v>
      </c>
      <c r="J6" s="555"/>
      <c r="K6" s="555"/>
      <c r="L6" s="555"/>
      <c r="M6" s="244"/>
      <c r="N6" s="233"/>
      <c r="O6" s="233"/>
      <c r="P6" s="233"/>
    </row>
    <row r="7" spans="1:16" ht="20.25">
      <c r="A7" s="233"/>
      <c r="B7" s="236"/>
      <c r="C7" s="239"/>
      <c r="D7" s="238"/>
      <c r="E7" s="238"/>
      <c r="F7" s="238"/>
      <c r="G7" s="238"/>
      <c r="H7" s="238"/>
      <c r="I7" s="309" t="str">
        <f>IF(OR(K12="",K21=0),"",IF(K12&lt;&gt;K21,"EL SISTEMA PV TIENE DOS TENSIONES DE CC DIFERENTES",""))</f>
        <v/>
      </c>
      <c r="J7" s="309"/>
      <c r="K7" s="310"/>
      <c r="L7" s="310"/>
      <c r="M7" s="244"/>
      <c r="N7" s="233"/>
      <c r="O7" s="233"/>
      <c r="P7" s="233"/>
    </row>
    <row r="8" spans="1:16" ht="20.25">
      <c r="A8" s="233"/>
      <c r="B8" s="236"/>
      <c r="C8" s="239"/>
      <c r="D8" s="238"/>
      <c r="E8" s="238"/>
      <c r="F8" s="238"/>
      <c r="G8" s="238"/>
      <c r="H8" s="238"/>
      <c r="I8" s="238"/>
      <c r="J8" s="238"/>
      <c r="K8" s="238"/>
      <c r="L8" s="238"/>
      <c r="M8" s="244"/>
      <c r="N8" s="233"/>
      <c r="O8" s="233"/>
      <c r="P8" s="233"/>
    </row>
    <row r="9" spans="1:16" ht="19.5" customHeight="1" thickBot="1">
      <c r="A9" s="233"/>
      <c r="B9" s="236"/>
      <c r="C9" s="551"/>
      <c r="D9" s="551"/>
      <c r="E9" s="551"/>
      <c r="F9" s="551"/>
      <c r="G9" s="238"/>
      <c r="H9" s="551"/>
      <c r="I9" s="551"/>
      <c r="J9" s="551"/>
      <c r="K9" s="551"/>
      <c r="L9" s="238"/>
      <c r="M9" s="244"/>
      <c r="N9" s="233"/>
      <c r="O9" s="233"/>
      <c r="P9" s="233"/>
    </row>
    <row r="10" spans="1:16" ht="48.75" thickTop="1" thickBot="1">
      <c r="A10" s="233"/>
      <c r="B10" s="236"/>
      <c r="C10" s="221" t="s">
        <v>431</v>
      </c>
      <c r="D10" s="222" t="s">
        <v>433</v>
      </c>
      <c r="E10" s="222" t="s">
        <v>217</v>
      </c>
      <c r="F10" s="222" t="s">
        <v>218</v>
      </c>
      <c r="G10" s="195" t="s">
        <v>0</v>
      </c>
      <c r="H10" s="223" t="s">
        <v>1</v>
      </c>
      <c r="I10" s="223" t="s">
        <v>145</v>
      </c>
      <c r="J10" s="223" t="s">
        <v>2</v>
      </c>
      <c r="K10" s="223" t="s">
        <v>208</v>
      </c>
      <c r="L10" s="196" t="s">
        <v>3</v>
      </c>
      <c r="M10" s="244"/>
      <c r="N10" s="233"/>
      <c r="O10" s="233"/>
      <c r="P10" s="233"/>
    </row>
    <row r="11" spans="1:16" ht="18.75" customHeight="1" outlineLevel="1" thickBot="1">
      <c r="A11" s="233"/>
      <c r="B11" s="236"/>
      <c r="C11" s="552" t="s">
        <v>429</v>
      </c>
      <c r="D11" s="553"/>
      <c r="E11" s="553"/>
      <c r="F11" s="553"/>
      <c r="G11" s="553"/>
      <c r="H11" s="553"/>
      <c r="I11" s="553"/>
      <c r="J11" s="553"/>
      <c r="K11" s="553"/>
      <c r="L11" s="554"/>
      <c r="M11" s="244"/>
      <c r="N11" s="233"/>
      <c r="O11" s="233"/>
      <c r="P11" s="233"/>
    </row>
    <row r="12" spans="1:16" ht="24.95" customHeight="1" outlineLevel="1">
      <c r="A12" s="233"/>
      <c r="B12" s="236"/>
      <c r="C12" s="718" t="s">
        <v>545</v>
      </c>
      <c r="D12" s="128">
        <v>50</v>
      </c>
      <c r="E12" s="129"/>
      <c r="F12" s="130">
        <v>48</v>
      </c>
      <c r="G12" s="197">
        <v>2460</v>
      </c>
      <c r="H12" s="139">
        <v>24</v>
      </c>
      <c r="I12" s="128">
        <v>7</v>
      </c>
      <c r="J12" s="140">
        <v>0.9</v>
      </c>
      <c r="K12" s="308">
        <v>48</v>
      </c>
      <c r="L12" s="200">
        <f>IF(OR(G12=0,K12=""),"0",(G12*H12*(I12/7))/(J12*K12))</f>
        <v>1366.6666666666665</v>
      </c>
      <c r="M12" s="244"/>
      <c r="N12" s="233"/>
      <c r="O12" s="233"/>
      <c r="P12" s="233"/>
    </row>
    <row r="13" spans="1:16" ht="24.95" customHeight="1" outlineLevel="1">
      <c r="A13" s="233"/>
      <c r="B13" s="236"/>
      <c r="C13" s="722" t="s">
        <v>540</v>
      </c>
      <c r="D13" s="132">
        <v>30</v>
      </c>
      <c r="E13" s="133"/>
      <c r="F13" s="134">
        <v>48</v>
      </c>
      <c r="G13" s="198">
        <v>250</v>
      </c>
      <c r="H13" s="141">
        <v>24</v>
      </c>
      <c r="I13" s="132">
        <v>7</v>
      </c>
      <c r="J13" s="142">
        <v>0.9</v>
      </c>
      <c r="K13" s="297">
        <f>$K$12</f>
        <v>48</v>
      </c>
      <c r="L13" s="201">
        <f>IF(OR(G13=0,K13=0),"0",(G13*H13*(I13/7))/(J13*K13))</f>
        <v>138.88888888888889</v>
      </c>
      <c r="M13" s="244"/>
      <c r="N13" s="233"/>
      <c r="O13" s="233"/>
      <c r="P13" s="233"/>
    </row>
    <row r="14" spans="1:16" ht="24.95" customHeight="1" outlineLevel="1">
      <c r="A14" s="233"/>
      <c r="B14" s="236"/>
      <c r="C14" s="722" t="s">
        <v>546</v>
      </c>
      <c r="D14" s="132">
        <v>14</v>
      </c>
      <c r="E14" s="133"/>
      <c r="F14" s="134">
        <v>48</v>
      </c>
      <c r="G14" s="198">
        <v>100</v>
      </c>
      <c r="H14" s="141">
        <v>24</v>
      </c>
      <c r="I14" s="132">
        <v>7</v>
      </c>
      <c r="J14" s="142">
        <v>0.9</v>
      </c>
      <c r="K14" s="297">
        <f t="shared" ref="K14:K19" si="0">$K$12</f>
        <v>48</v>
      </c>
      <c r="L14" s="201">
        <f t="shared" ref="L14:L19" si="1">IF(OR(G14=0,K14=0),"0",(G14*H14*(I14/7))/(J14*K14))</f>
        <v>55.55555555555555</v>
      </c>
      <c r="M14" s="244"/>
      <c r="N14" s="233"/>
      <c r="O14" s="233"/>
      <c r="P14" s="233"/>
    </row>
    <row r="15" spans="1:16" ht="24.95" customHeight="1" outlineLevel="1" thickBot="1">
      <c r="A15" s="233"/>
      <c r="B15" s="236"/>
      <c r="C15" s="722" t="s">
        <v>547</v>
      </c>
      <c r="D15" s="132">
        <v>12</v>
      </c>
      <c r="E15" s="133"/>
      <c r="F15" s="134">
        <v>48</v>
      </c>
      <c r="G15" s="198">
        <v>428</v>
      </c>
      <c r="H15" s="141">
        <v>24</v>
      </c>
      <c r="I15" s="132">
        <v>7</v>
      </c>
      <c r="J15" s="142">
        <v>0.9</v>
      </c>
      <c r="K15" s="297">
        <f t="shared" si="0"/>
        <v>48</v>
      </c>
      <c r="L15" s="201">
        <f t="shared" si="1"/>
        <v>237.77777777777777</v>
      </c>
      <c r="M15" s="244"/>
      <c r="N15" s="233"/>
      <c r="O15" s="233"/>
      <c r="P15" s="233"/>
    </row>
    <row r="16" spans="1:16" ht="24.95" hidden="1" customHeight="1" outlineLevel="1">
      <c r="A16" s="233"/>
      <c r="B16" s="236"/>
      <c r="C16" s="131"/>
      <c r="D16" s="132"/>
      <c r="E16" s="133"/>
      <c r="F16" s="134"/>
      <c r="G16" s="198">
        <v>0</v>
      </c>
      <c r="H16" s="141">
        <v>24</v>
      </c>
      <c r="I16" s="132">
        <v>7</v>
      </c>
      <c r="J16" s="142">
        <v>0.9</v>
      </c>
      <c r="K16" s="297">
        <f t="shared" si="0"/>
        <v>48</v>
      </c>
      <c r="L16" s="201" t="str">
        <f t="shared" si="1"/>
        <v>0</v>
      </c>
      <c r="M16" s="244"/>
      <c r="N16" s="233"/>
      <c r="O16" s="233"/>
      <c r="P16" s="233"/>
    </row>
    <row r="17" spans="1:16" ht="24.95" hidden="1" customHeight="1" outlineLevel="1">
      <c r="A17" s="233"/>
      <c r="B17" s="236"/>
      <c r="C17" s="515"/>
      <c r="D17" s="132"/>
      <c r="E17" s="133"/>
      <c r="F17" s="134"/>
      <c r="G17" s="198">
        <v>0</v>
      </c>
      <c r="H17" s="141">
        <v>24</v>
      </c>
      <c r="I17" s="132">
        <v>7</v>
      </c>
      <c r="J17" s="142">
        <v>0.9</v>
      </c>
      <c r="K17" s="297">
        <f t="shared" si="0"/>
        <v>48</v>
      </c>
      <c r="L17" s="201" t="str">
        <f t="shared" si="1"/>
        <v>0</v>
      </c>
      <c r="M17" s="244"/>
      <c r="N17" s="233"/>
      <c r="O17" s="233"/>
      <c r="P17" s="233"/>
    </row>
    <row r="18" spans="1:16" ht="24.95" hidden="1" customHeight="1" outlineLevel="1">
      <c r="A18" s="233"/>
      <c r="B18" s="236"/>
      <c r="C18" s="515"/>
      <c r="D18" s="132"/>
      <c r="E18" s="133"/>
      <c r="F18" s="134"/>
      <c r="G18" s="198">
        <v>0</v>
      </c>
      <c r="H18" s="141">
        <v>24</v>
      </c>
      <c r="I18" s="132">
        <v>2</v>
      </c>
      <c r="J18" s="142">
        <v>0.9</v>
      </c>
      <c r="K18" s="297">
        <f t="shared" si="0"/>
        <v>48</v>
      </c>
      <c r="L18" s="201" t="str">
        <f t="shared" si="1"/>
        <v>0</v>
      </c>
      <c r="M18" s="244"/>
      <c r="N18" s="233"/>
      <c r="O18" s="233"/>
      <c r="P18" s="233"/>
    </row>
    <row r="19" spans="1:16" ht="24.95" hidden="1" customHeight="1" outlineLevel="1" thickBot="1">
      <c r="A19" s="233"/>
      <c r="B19" s="236"/>
      <c r="C19" s="135"/>
      <c r="D19" s="136"/>
      <c r="E19" s="137"/>
      <c r="F19" s="138"/>
      <c r="G19" s="199">
        <v>0</v>
      </c>
      <c r="H19" s="143"/>
      <c r="I19" s="136"/>
      <c r="J19" s="144"/>
      <c r="K19" s="297">
        <f t="shared" si="0"/>
        <v>48</v>
      </c>
      <c r="L19" s="201" t="str">
        <f t="shared" si="1"/>
        <v>0</v>
      </c>
      <c r="M19" s="244"/>
      <c r="N19" s="233"/>
      <c r="O19" s="233"/>
      <c r="P19" s="233"/>
    </row>
    <row r="20" spans="1:16" ht="16.5" hidden="1" outlineLevel="2" thickBot="1">
      <c r="A20" s="233"/>
      <c r="B20" s="236"/>
      <c r="C20" s="552" t="s">
        <v>430</v>
      </c>
      <c r="D20" s="553"/>
      <c r="E20" s="553"/>
      <c r="F20" s="553"/>
      <c r="G20" s="553"/>
      <c r="H20" s="553"/>
      <c r="I20" s="553"/>
      <c r="J20" s="553"/>
      <c r="K20" s="553"/>
      <c r="L20" s="554"/>
      <c r="M20" s="244"/>
      <c r="N20" s="233"/>
      <c r="O20" s="233"/>
      <c r="P20" s="233"/>
    </row>
    <row r="21" spans="1:16" ht="24.95" hidden="1" customHeight="1" outlineLevel="2">
      <c r="A21" s="233"/>
      <c r="B21" s="236"/>
      <c r="C21" s="145"/>
      <c r="D21" s="146"/>
      <c r="E21" s="147"/>
      <c r="F21" s="148"/>
      <c r="G21" s="197">
        <f>(F21*E21*D21)</f>
        <v>0</v>
      </c>
      <c r="H21" s="149"/>
      <c r="I21" s="146"/>
      <c r="J21" s="147"/>
      <c r="K21" s="308"/>
      <c r="L21" s="200" t="str">
        <f t="shared" ref="L21:L29" si="2">IF(G21=0,"0",(G21*H21*(I21/7))/(J21*K21))</f>
        <v>0</v>
      </c>
      <c r="M21" s="244"/>
      <c r="N21" s="233"/>
      <c r="O21" s="233"/>
      <c r="P21" s="233"/>
    </row>
    <row r="22" spans="1:16" ht="24.95" hidden="1" customHeight="1" outlineLevel="2">
      <c r="A22" s="233"/>
      <c r="B22" s="236"/>
      <c r="C22" s="131"/>
      <c r="D22" s="132"/>
      <c r="E22" s="142"/>
      <c r="F22" s="134"/>
      <c r="G22" s="198">
        <f t="shared" ref="G22:G29" si="3">(F22*E22*D22)</f>
        <v>0</v>
      </c>
      <c r="H22" s="141"/>
      <c r="I22" s="132"/>
      <c r="J22" s="150"/>
      <c r="K22" s="297">
        <f>$K$21</f>
        <v>0</v>
      </c>
      <c r="L22" s="201" t="str">
        <f t="shared" si="2"/>
        <v>0</v>
      </c>
      <c r="M22" s="244"/>
      <c r="N22" s="233"/>
      <c r="O22" s="233"/>
      <c r="P22" s="233"/>
    </row>
    <row r="23" spans="1:16" ht="24.95" hidden="1" customHeight="1" outlineLevel="2">
      <c r="A23" s="233"/>
      <c r="B23" s="236"/>
      <c r="C23" s="131"/>
      <c r="D23" s="132"/>
      <c r="E23" s="142"/>
      <c r="F23" s="134"/>
      <c r="G23" s="198">
        <f t="shared" si="3"/>
        <v>0</v>
      </c>
      <c r="H23" s="141"/>
      <c r="I23" s="132"/>
      <c r="J23" s="150"/>
      <c r="K23" s="297">
        <f t="shared" ref="K23:K29" si="4">$K$21</f>
        <v>0</v>
      </c>
      <c r="L23" s="201" t="str">
        <f t="shared" si="2"/>
        <v>0</v>
      </c>
      <c r="M23" s="244"/>
      <c r="N23" s="233"/>
      <c r="O23" s="233"/>
      <c r="P23" s="233"/>
    </row>
    <row r="24" spans="1:16" ht="24.95" hidden="1" customHeight="1" outlineLevel="2">
      <c r="A24" s="233"/>
      <c r="B24" s="236"/>
      <c r="C24" s="131"/>
      <c r="D24" s="132"/>
      <c r="E24" s="142"/>
      <c r="F24" s="134"/>
      <c r="G24" s="198">
        <f t="shared" si="3"/>
        <v>0</v>
      </c>
      <c r="H24" s="141"/>
      <c r="I24" s="132"/>
      <c r="J24" s="150"/>
      <c r="K24" s="297">
        <f t="shared" si="4"/>
        <v>0</v>
      </c>
      <c r="L24" s="201" t="str">
        <f t="shared" si="2"/>
        <v>0</v>
      </c>
      <c r="M24" s="244"/>
      <c r="N24" s="233"/>
      <c r="O24" s="233"/>
      <c r="P24" s="233"/>
    </row>
    <row r="25" spans="1:16" ht="24.95" hidden="1" customHeight="1" outlineLevel="2">
      <c r="A25" s="233"/>
      <c r="B25" s="236"/>
      <c r="C25" s="131"/>
      <c r="D25" s="132"/>
      <c r="E25" s="142"/>
      <c r="F25" s="134"/>
      <c r="G25" s="198">
        <f t="shared" si="3"/>
        <v>0</v>
      </c>
      <c r="H25" s="141"/>
      <c r="I25" s="132"/>
      <c r="J25" s="150"/>
      <c r="K25" s="297">
        <f t="shared" si="4"/>
        <v>0</v>
      </c>
      <c r="L25" s="201" t="str">
        <f t="shared" si="2"/>
        <v>0</v>
      </c>
      <c r="M25" s="244"/>
      <c r="N25" s="233"/>
      <c r="O25" s="233"/>
      <c r="P25" s="233"/>
    </row>
    <row r="26" spans="1:16" ht="24.95" hidden="1" customHeight="1" outlineLevel="2">
      <c r="A26" s="233"/>
      <c r="B26" s="236"/>
      <c r="C26" s="131"/>
      <c r="D26" s="132"/>
      <c r="E26" s="142"/>
      <c r="F26" s="134"/>
      <c r="G26" s="198">
        <f t="shared" si="3"/>
        <v>0</v>
      </c>
      <c r="H26" s="141"/>
      <c r="I26" s="132"/>
      <c r="J26" s="150"/>
      <c r="K26" s="297">
        <f t="shared" si="4"/>
        <v>0</v>
      </c>
      <c r="L26" s="201" t="str">
        <f t="shared" si="2"/>
        <v>0</v>
      </c>
      <c r="M26" s="244"/>
      <c r="N26" s="233"/>
      <c r="O26" s="233"/>
      <c r="P26" s="233"/>
    </row>
    <row r="27" spans="1:16" ht="24.95" hidden="1" customHeight="1" outlineLevel="2">
      <c r="A27" s="233"/>
      <c r="B27" s="236"/>
      <c r="C27" s="131"/>
      <c r="D27" s="132"/>
      <c r="E27" s="142"/>
      <c r="F27" s="134"/>
      <c r="G27" s="198">
        <f t="shared" si="3"/>
        <v>0</v>
      </c>
      <c r="H27" s="141"/>
      <c r="I27" s="132"/>
      <c r="J27" s="150"/>
      <c r="K27" s="297">
        <f t="shared" si="4"/>
        <v>0</v>
      </c>
      <c r="L27" s="201" t="str">
        <f t="shared" si="2"/>
        <v>0</v>
      </c>
      <c r="M27" s="244"/>
      <c r="N27" s="233"/>
      <c r="O27" s="233"/>
      <c r="P27" s="233"/>
    </row>
    <row r="28" spans="1:16" ht="24.95" hidden="1" customHeight="1" outlineLevel="2">
      <c r="A28" s="233"/>
      <c r="B28" s="236"/>
      <c r="C28" s="131"/>
      <c r="D28" s="132"/>
      <c r="E28" s="142"/>
      <c r="F28" s="134"/>
      <c r="G28" s="198">
        <f t="shared" si="3"/>
        <v>0</v>
      </c>
      <c r="H28" s="141"/>
      <c r="I28" s="132"/>
      <c r="J28" s="150"/>
      <c r="K28" s="297">
        <f t="shared" si="4"/>
        <v>0</v>
      </c>
      <c r="L28" s="201" t="str">
        <f t="shared" si="2"/>
        <v>0</v>
      </c>
      <c r="M28" s="244"/>
      <c r="N28" s="233"/>
      <c r="O28" s="233"/>
      <c r="P28" s="233"/>
    </row>
    <row r="29" spans="1:16" ht="24.95" hidden="1" customHeight="1" outlineLevel="2" thickBot="1">
      <c r="A29" s="233"/>
      <c r="B29" s="236"/>
      <c r="C29" s="153"/>
      <c r="D29" s="154"/>
      <c r="E29" s="155"/>
      <c r="F29" s="138"/>
      <c r="G29" s="199">
        <f t="shared" si="3"/>
        <v>0</v>
      </c>
      <c r="H29" s="151"/>
      <c r="I29" s="152"/>
      <c r="J29" s="155"/>
      <c r="K29" s="297">
        <f t="shared" si="4"/>
        <v>0</v>
      </c>
      <c r="L29" s="202" t="str">
        <f t="shared" si="2"/>
        <v>0</v>
      </c>
      <c r="M29" s="244"/>
      <c r="N29" s="233"/>
      <c r="O29" s="233"/>
      <c r="P29" s="233"/>
    </row>
    <row r="30" spans="1:16" ht="30.75" customHeight="1" collapsed="1" thickTop="1" thickBot="1">
      <c r="A30" s="233"/>
      <c r="B30" s="236"/>
      <c r="C30" s="233"/>
      <c r="D30" s="233"/>
      <c r="E30" s="233"/>
      <c r="F30" s="177" t="s">
        <v>6</v>
      </c>
      <c r="G30" s="176">
        <f>SUM(G12:G19,G21:G29)</f>
        <v>3238</v>
      </c>
      <c r="H30" s="249"/>
      <c r="I30" s="250"/>
      <c r="J30" s="238"/>
      <c r="K30" s="495" t="s">
        <v>7</v>
      </c>
      <c r="L30" s="176">
        <f>SUM(L12:L19,L21:L29)</f>
        <v>1798.8888888888889</v>
      </c>
      <c r="M30" s="244"/>
      <c r="N30" s="233"/>
      <c r="O30" s="233"/>
      <c r="P30" s="233"/>
    </row>
    <row r="31" spans="1:16" ht="13.5" thickTop="1">
      <c r="A31" s="233"/>
      <c r="B31" s="236"/>
      <c r="C31" s="238"/>
      <c r="D31" s="238"/>
      <c r="E31" s="238"/>
      <c r="F31" s="238"/>
      <c r="G31" s="238"/>
      <c r="H31" s="238"/>
      <c r="I31" s="238"/>
      <c r="J31" s="238"/>
      <c r="K31" s="238"/>
      <c r="L31" s="238"/>
      <c r="M31" s="244"/>
      <c r="N31" s="233"/>
      <c r="O31" s="233"/>
      <c r="P31" s="233"/>
    </row>
    <row r="32" spans="1:16" ht="19.5" customHeight="1" thickBot="1">
      <c r="A32" s="233"/>
      <c r="B32" s="236"/>
      <c r="C32" s="238"/>
      <c r="D32" s="238"/>
      <c r="E32" s="238"/>
      <c r="F32" s="238"/>
      <c r="G32" s="238"/>
      <c r="H32" s="238"/>
      <c r="I32" s="551"/>
      <c r="J32" s="551"/>
      <c r="K32" s="251"/>
      <c r="L32" s="238"/>
      <c r="M32" s="244"/>
      <c r="N32" s="233"/>
      <c r="O32" s="233"/>
      <c r="P32" s="233"/>
    </row>
    <row r="33" spans="1:16" ht="61.5" customHeight="1" thickTop="1" thickBot="1">
      <c r="A33" s="233"/>
      <c r="B33" s="236"/>
      <c r="C33" s="238"/>
      <c r="D33" s="205" t="s">
        <v>8</v>
      </c>
      <c r="E33" s="195" t="s">
        <v>9</v>
      </c>
      <c r="F33" s="195" t="s">
        <v>209</v>
      </c>
      <c r="G33" s="195" t="s">
        <v>219</v>
      </c>
      <c r="H33" s="195" t="s">
        <v>53</v>
      </c>
      <c r="I33" s="213" t="s">
        <v>10</v>
      </c>
      <c r="J33" s="213" t="s">
        <v>12</v>
      </c>
      <c r="K33" s="178" t="s">
        <v>11</v>
      </c>
      <c r="L33" s="252"/>
      <c r="M33" s="244"/>
      <c r="N33" s="233"/>
      <c r="O33" s="233"/>
      <c r="P33" s="233"/>
    </row>
    <row r="34" spans="1:16" ht="21.75" thickBot="1">
      <c r="A34" s="233"/>
      <c r="B34" s="236"/>
      <c r="C34" s="238"/>
      <c r="D34" s="206">
        <f>SUM(G21:G29)</f>
        <v>0</v>
      </c>
      <c r="E34" s="207">
        <f>SUM(G12:G19)</f>
        <v>3238</v>
      </c>
      <c r="F34" s="208">
        <v>48</v>
      </c>
      <c r="G34" s="209">
        <f>IF(F34=0,"0",G30/F34)</f>
        <v>67.458333333333329</v>
      </c>
      <c r="H34" s="209">
        <f>$L$30</f>
        <v>1798.8888888888889</v>
      </c>
      <c r="I34" s="156">
        <v>0.98</v>
      </c>
      <c r="J34" s="157">
        <v>0.95</v>
      </c>
      <c r="K34" s="179">
        <f>(H34/(I34*J34))</f>
        <v>1932.2114810836617</v>
      </c>
      <c r="L34" s="252"/>
      <c r="M34" s="244"/>
      <c r="N34" s="233"/>
      <c r="O34" s="233"/>
      <c r="P34" s="233"/>
    </row>
    <row r="35" spans="1:16" ht="13.5" thickTop="1">
      <c r="A35" s="233"/>
      <c r="B35" s="242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44"/>
      <c r="N35" s="233"/>
      <c r="O35" s="233"/>
      <c r="P35" s="233"/>
    </row>
    <row r="36" spans="1:16" ht="13.5" thickBot="1">
      <c r="A36" s="233"/>
      <c r="B36" s="243"/>
      <c r="C36" s="248"/>
      <c r="D36" s="248"/>
      <c r="E36" s="248"/>
      <c r="F36" s="248"/>
      <c r="G36" s="248"/>
      <c r="H36" s="248"/>
      <c r="I36" s="248"/>
      <c r="J36" s="248"/>
      <c r="K36" s="248"/>
      <c r="L36" s="248"/>
      <c r="M36" s="247"/>
      <c r="N36" s="233"/>
      <c r="O36" s="233"/>
      <c r="P36" s="233"/>
    </row>
    <row r="37" spans="1:16" ht="13.5" thickTop="1">
      <c r="A37" s="233"/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</row>
    <row r="38" spans="1:16">
      <c r="A38" s="233"/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</row>
    <row r="39" spans="1:16">
      <c r="A39" s="233"/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</row>
    <row r="40" spans="1:16">
      <c r="A40" s="233"/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</row>
    <row r="41" spans="1:16">
      <c r="A41" s="233"/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</row>
    <row r="42" spans="1:16">
      <c r="A42" s="233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</row>
    <row r="43" spans="1:16">
      <c r="A43" s="233"/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</row>
    <row r="44" spans="1:16">
      <c r="A44" s="233"/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</row>
    <row r="45" spans="1:16">
      <c r="A45" s="233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</row>
    <row r="46" spans="1:16">
      <c r="A46" s="233"/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</row>
    <row r="47" spans="1:16">
      <c r="A47" s="233"/>
      <c r="B47" s="233"/>
      <c r="C47" s="233"/>
      <c r="D47" s="233"/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</row>
    <row r="48" spans="1:16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</row>
    <row r="49" spans="1:16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</row>
    <row r="50" spans="1:16">
      <c r="A50" s="233"/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</row>
    <row r="51" spans="1:16">
      <c r="A51" s="233"/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</row>
    <row r="52" spans="1:16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</row>
    <row r="53" spans="1:16">
      <c r="A53" s="233"/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</row>
    <row r="68" spans="3:12">
      <c r="C68" s="39"/>
      <c r="D68" s="39"/>
      <c r="E68" s="39"/>
      <c r="F68" s="39"/>
      <c r="G68" s="39"/>
      <c r="H68" s="39"/>
      <c r="I68" s="39"/>
      <c r="J68" s="39"/>
      <c r="K68" s="39"/>
      <c r="L68" s="39"/>
    </row>
    <row r="69" spans="3:12">
      <c r="C69" s="39"/>
      <c r="D69" s="39"/>
      <c r="E69" s="39"/>
      <c r="F69" s="39"/>
      <c r="G69" s="39"/>
      <c r="H69" s="39"/>
      <c r="I69" s="39"/>
      <c r="J69" s="39"/>
      <c r="K69" s="39"/>
      <c r="L69" s="39"/>
    </row>
    <row r="70" spans="3:12">
      <c r="C70" s="39"/>
      <c r="D70" s="39"/>
      <c r="E70" s="39"/>
      <c r="F70" s="39"/>
      <c r="G70" s="39"/>
      <c r="H70" s="39"/>
      <c r="I70" s="39"/>
      <c r="J70" s="39"/>
      <c r="K70" s="39"/>
      <c r="L70" s="39"/>
    </row>
    <row r="71" spans="3:12">
      <c r="C71" s="39"/>
      <c r="D71" s="39"/>
      <c r="E71" s="39"/>
      <c r="F71" s="39"/>
      <c r="G71" s="39"/>
      <c r="H71" s="39"/>
      <c r="I71" s="39"/>
      <c r="J71" s="39"/>
      <c r="K71" s="39"/>
      <c r="L71" s="39"/>
    </row>
    <row r="72" spans="3:12" ht="15">
      <c r="C72" s="481"/>
      <c r="D72" s="482"/>
      <c r="E72" s="483"/>
      <c r="F72" s="482"/>
      <c r="G72" s="39"/>
      <c r="H72" s="484"/>
      <c r="I72" s="482"/>
      <c r="J72" s="485"/>
      <c r="K72" s="482"/>
      <c r="L72" s="39"/>
    </row>
    <row r="73" spans="3:12" ht="15">
      <c r="C73" s="486"/>
      <c r="D73" s="482"/>
      <c r="E73" s="483"/>
      <c r="F73" s="482"/>
      <c r="G73" s="39"/>
      <c r="H73" s="484"/>
      <c r="I73" s="482"/>
      <c r="J73" s="485"/>
      <c r="K73" s="39"/>
      <c r="L73" s="39"/>
    </row>
    <row r="74" spans="3:12" ht="15">
      <c r="C74" s="486"/>
      <c r="D74" s="482"/>
      <c r="E74" s="483"/>
      <c r="F74" s="482"/>
      <c r="G74" s="39"/>
      <c r="H74" s="484"/>
      <c r="I74" s="482"/>
      <c r="J74" s="485"/>
      <c r="K74" s="39"/>
      <c r="L74" s="39"/>
    </row>
    <row r="75" spans="3:12" ht="15">
      <c r="C75" s="486"/>
      <c r="D75" s="482"/>
      <c r="E75" s="483"/>
      <c r="F75" s="482"/>
      <c r="G75" s="39"/>
      <c r="H75" s="484"/>
      <c r="I75" s="482"/>
      <c r="J75" s="485"/>
      <c r="K75" s="39"/>
      <c r="L75" s="39"/>
    </row>
    <row r="76" spans="3:12" ht="15">
      <c r="C76" s="486"/>
      <c r="D76" s="482"/>
      <c r="E76" s="483"/>
      <c r="F76" s="482"/>
      <c r="G76" s="39"/>
      <c r="H76" s="484"/>
      <c r="I76" s="482"/>
      <c r="J76" s="485"/>
      <c r="K76" s="39"/>
      <c r="L76" s="39"/>
    </row>
    <row r="77" spans="3:12" ht="15">
      <c r="C77" s="486"/>
      <c r="D77" s="482"/>
      <c r="E77" s="483"/>
      <c r="F77" s="482"/>
      <c r="G77" s="39"/>
      <c r="H77" s="484"/>
      <c r="I77" s="482"/>
      <c r="J77" s="485"/>
      <c r="K77" s="39"/>
      <c r="L77" s="39"/>
    </row>
    <row r="78" spans="3:12" ht="15">
      <c r="C78" s="486"/>
      <c r="D78" s="482"/>
      <c r="E78" s="483"/>
      <c r="F78" s="482"/>
      <c r="G78" s="39"/>
      <c r="H78" s="484"/>
      <c r="I78" s="482"/>
      <c r="J78" s="485"/>
      <c r="K78" s="39"/>
      <c r="L78" s="39"/>
    </row>
    <row r="79" spans="3:12" ht="15">
      <c r="C79" s="486"/>
      <c r="D79" s="482"/>
      <c r="E79" s="483"/>
      <c r="F79" s="482"/>
      <c r="G79" s="39"/>
      <c r="H79" s="484"/>
      <c r="I79" s="482"/>
      <c r="J79" s="485"/>
      <c r="K79" s="39"/>
      <c r="L79" s="39"/>
    </row>
    <row r="80" spans="3:12">
      <c r="C80" s="39"/>
      <c r="D80" s="487"/>
      <c r="E80" s="488"/>
      <c r="F80" s="487"/>
      <c r="G80" s="39"/>
      <c r="H80" s="489"/>
      <c r="I80" s="487"/>
      <c r="J80" s="39"/>
      <c r="K80" s="39"/>
      <c r="L80" s="39"/>
    </row>
    <row r="81" spans="3:12" ht="15">
      <c r="C81" s="486"/>
      <c r="D81" s="482"/>
      <c r="E81" s="485"/>
      <c r="F81" s="482"/>
      <c r="G81" s="39"/>
      <c r="H81" s="484"/>
      <c r="I81" s="482"/>
      <c r="J81" s="485"/>
      <c r="K81" s="39"/>
      <c r="L81" s="39"/>
    </row>
    <row r="82" spans="3:12" ht="15">
      <c r="C82" s="486"/>
      <c r="D82" s="482"/>
      <c r="E82" s="485"/>
      <c r="F82" s="482"/>
      <c r="G82" s="39"/>
      <c r="H82" s="484"/>
      <c r="I82" s="482"/>
      <c r="J82" s="490"/>
      <c r="K82" s="39"/>
      <c r="L82" s="39"/>
    </row>
    <row r="83" spans="3:12" ht="15">
      <c r="C83" s="486"/>
      <c r="D83" s="482"/>
      <c r="E83" s="485"/>
      <c r="F83" s="482"/>
      <c r="G83" s="39"/>
      <c r="H83" s="484"/>
      <c r="I83" s="482"/>
      <c r="J83" s="490"/>
      <c r="K83" s="39"/>
      <c r="L83" s="39"/>
    </row>
    <row r="84" spans="3:12" ht="15">
      <c r="C84" s="486"/>
      <c r="D84" s="482"/>
      <c r="E84" s="485"/>
      <c r="F84" s="482"/>
      <c r="G84" s="39"/>
      <c r="H84" s="484"/>
      <c r="I84" s="482"/>
      <c r="J84" s="490"/>
      <c r="K84" s="39"/>
      <c r="L84" s="39"/>
    </row>
    <row r="85" spans="3:12" ht="15">
      <c r="C85" s="486"/>
      <c r="D85" s="482"/>
      <c r="E85" s="485"/>
      <c r="F85" s="482"/>
      <c r="G85" s="39"/>
      <c r="H85" s="484"/>
      <c r="I85" s="482"/>
      <c r="J85" s="490"/>
      <c r="K85" s="39"/>
      <c r="L85" s="39"/>
    </row>
    <row r="86" spans="3:12" ht="15">
      <c r="C86" s="486"/>
      <c r="D86" s="482"/>
      <c r="E86" s="485"/>
      <c r="F86" s="482"/>
      <c r="G86" s="39"/>
      <c r="H86" s="484"/>
      <c r="I86" s="482"/>
      <c r="J86" s="490"/>
      <c r="K86" s="39"/>
      <c r="L86" s="39"/>
    </row>
    <row r="87" spans="3:12" ht="15">
      <c r="C87" s="486"/>
      <c r="D87" s="482"/>
      <c r="E87" s="485"/>
      <c r="F87" s="482"/>
      <c r="G87" s="39"/>
      <c r="H87" s="484"/>
      <c r="I87" s="482"/>
      <c r="J87" s="490"/>
      <c r="K87" s="39"/>
      <c r="L87" s="39"/>
    </row>
    <row r="88" spans="3:12" ht="15">
      <c r="C88" s="486"/>
      <c r="D88" s="482"/>
      <c r="E88" s="485"/>
      <c r="F88" s="482"/>
      <c r="G88" s="39"/>
      <c r="H88" s="484"/>
      <c r="I88" s="482"/>
      <c r="J88" s="490"/>
      <c r="K88" s="39"/>
      <c r="L88" s="39"/>
    </row>
    <row r="89" spans="3:12" ht="15">
      <c r="C89" s="486"/>
      <c r="D89" s="482"/>
      <c r="E89" s="485"/>
      <c r="F89" s="482"/>
      <c r="G89" s="39"/>
      <c r="H89" s="484"/>
      <c r="I89" s="482"/>
      <c r="J89" s="485"/>
      <c r="K89" s="39"/>
      <c r="L89" s="39"/>
    </row>
    <row r="90" spans="3:12">
      <c r="C90" s="39"/>
      <c r="D90" s="39"/>
      <c r="E90" s="39"/>
      <c r="F90" s="39"/>
      <c r="G90" s="39"/>
      <c r="H90" s="39"/>
      <c r="I90" s="39"/>
      <c r="J90" s="39"/>
      <c r="K90" s="39"/>
      <c r="L90" s="39"/>
    </row>
    <row r="91" spans="3:12">
      <c r="C91" s="39"/>
      <c r="D91" s="39"/>
      <c r="E91" s="39"/>
      <c r="F91" s="39"/>
      <c r="G91" s="39"/>
      <c r="H91" s="39"/>
      <c r="I91" s="39"/>
      <c r="J91" s="39"/>
      <c r="K91" s="39"/>
      <c r="L91" s="39"/>
    </row>
    <row r="92" spans="3:12">
      <c r="C92" s="39"/>
      <c r="D92" s="39"/>
      <c r="E92" s="39"/>
      <c r="F92" s="39"/>
      <c r="G92" s="39"/>
      <c r="H92" s="39"/>
      <c r="I92" s="39"/>
      <c r="J92" s="39"/>
      <c r="K92" s="39"/>
      <c r="L92" s="39"/>
    </row>
  </sheetData>
  <sheetProtection insertRows="0"/>
  <dataConsolidate/>
  <mergeCells count="10">
    <mergeCell ref="E2:G2"/>
    <mergeCell ref="E4:G4"/>
    <mergeCell ref="J2:L2"/>
    <mergeCell ref="J4:L4"/>
    <mergeCell ref="I32:J32"/>
    <mergeCell ref="C9:F9"/>
    <mergeCell ref="H9:K9"/>
    <mergeCell ref="C11:L11"/>
    <mergeCell ref="C20:L20"/>
    <mergeCell ref="I6:L6"/>
  </mergeCells>
  <phoneticPr fontId="12" type="noConversion"/>
  <printOptions horizontalCentered="1" verticalCentered="1"/>
  <pageMargins left="0" right="0" top="0" bottom="0" header="0" footer="0"/>
  <pageSetup paperSize="9" scale="71" orientation="landscape" horizontalDpi="200" verticalDpi="200" r:id="rId1"/>
  <headerFooter alignWithMargins="0"/>
  <cellWatches>
    <cellWatch r="L30"/>
  </cellWatche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3">
    <pageSetUpPr fitToPage="1"/>
  </sheetPr>
  <dimension ref="A1:AX106"/>
  <sheetViews>
    <sheetView showGridLines="0" zoomScale="80" zoomScaleNormal="80" workbookViewId="0">
      <selection activeCell="E15" sqref="E15"/>
    </sheetView>
  </sheetViews>
  <sheetFormatPr baseColWidth="10" defaultRowHeight="12.75" outlineLevelRow="1" outlineLevelCol="1"/>
  <cols>
    <col min="1" max="1" width="6.85546875" customWidth="1"/>
    <col min="2" max="2" width="8.85546875" customWidth="1"/>
    <col min="3" max="3" width="4.42578125" hidden="1" customWidth="1"/>
    <col min="4" max="4" width="15.140625" customWidth="1"/>
    <col min="5" max="5" width="14.5703125" customWidth="1"/>
    <col min="6" max="6" width="13" customWidth="1"/>
    <col min="7" max="7" width="14.42578125" customWidth="1"/>
    <col min="8" max="8" width="0.140625" customWidth="1"/>
    <col min="9" max="9" width="15.5703125" customWidth="1"/>
    <col min="10" max="10" width="13.5703125" customWidth="1"/>
    <col min="11" max="11" width="17.42578125" customWidth="1"/>
    <col min="12" max="12" width="1" customWidth="1"/>
    <col min="13" max="13" width="18" customWidth="1"/>
    <col min="14" max="14" width="18.140625" customWidth="1"/>
    <col min="15" max="15" width="1" customWidth="1"/>
    <col min="16" max="17" width="18.5703125" hidden="1" customWidth="1" outlineLevel="1"/>
    <col min="18" max="18" width="18.28515625" hidden="1" customWidth="1" outlineLevel="1"/>
    <col min="19" max="19" width="10" customWidth="1" collapsed="1"/>
    <col min="20" max="20" width="15.7109375" hidden="1" customWidth="1"/>
    <col min="21" max="21" width="8.140625" hidden="1" customWidth="1"/>
    <col min="22" max="22" width="16.140625" hidden="1" customWidth="1"/>
    <col min="23" max="23" width="17.5703125" hidden="1" customWidth="1"/>
    <col min="24" max="24" width="16.140625" hidden="1" customWidth="1"/>
    <col min="25" max="25" width="20" hidden="1" customWidth="1"/>
    <col min="26" max="26" width="21.28515625" hidden="1" customWidth="1"/>
    <col min="27" max="27" width="19.7109375" hidden="1" customWidth="1"/>
    <col min="28" max="28" width="22" hidden="1" customWidth="1"/>
    <col min="29" max="29" width="16.7109375" hidden="1" customWidth="1"/>
    <col min="30" max="30" width="20.42578125" hidden="1" customWidth="1"/>
    <col min="31" max="31" width="21.5703125" hidden="1" customWidth="1"/>
    <col min="32" max="32" width="22" hidden="1" customWidth="1"/>
    <col min="33" max="33" width="20.140625" hidden="1" customWidth="1"/>
    <col min="34" max="34" width="20" hidden="1" customWidth="1"/>
    <col min="35" max="35" width="19.140625" hidden="1" customWidth="1"/>
    <col min="36" max="36" width="18.7109375" hidden="1" customWidth="1"/>
    <col min="37" max="37" width="4.28515625" hidden="1" customWidth="1"/>
    <col min="38" max="38" width="26.85546875" hidden="1" customWidth="1"/>
    <col min="39" max="39" width="25.42578125" hidden="1" customWidth="1"/>
    <col min="40" max="40" width="17.7109375" hidden="1" customWidth="1"/>
    <col min="41" max="41" width="18.42578125" hidden="1" customWidth="1"/>
    <col min="42" max="42" width="11.85546875" hidden="1" customWidth="1"/>
    <col min="43" max="43" width="5.85546875" hidden="1" customWidth="1"/>
    <col min="44" max="44" width="12.42578125" customWidth="1"/>
  </cols>
  <sheetData>
    <row r="1" spans="1:50" ht="16.5" customHeight="1">
      <c r="A1" s="272"/>
      <c r="B1" s="480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8"/>
      <c r="T1" s="512"/>
      <c r="U1" s="512"/>
      <c r="V1" s="512"/>
      <c r="W1" s="512"/>
      <c r="X1" s="512"/>
      <c r="Y1" s="512"/>
      <c r="Z1" s="512"/>
      <c r="AA1" s="512"/>
      <c r="AB1" s="512"/>
      <c r="AC1" s="512"/>
      <c r="AD1" s="512"/>
      <c r="AE1" s="512"/>
      <c r="AF1" s="512"/>
      <c r="AG1" s="512"/>
      <c r="AH1" s="512"/>
      <c r="AI1" s="512"/>
      <c r="AJ1" s="512"/>
      <c r="AK1" s="512"/>
      <c r="AL1" s="512"/>
      <c r="AM1" s="512"/>
      <c r="AN1" s="512"/>
      <c r="AO1" s="512"/>
      <c r="AP1" s="512"/>
      <c r="AQ1" s="512"/>
      <c r="AR1" s="233"/>
      <c r="AS1" s="233"/>
      <c r="AT1" s="233"/>
      <c r="AU1" s="233"/>
      <c r="AV1" s="233"/>
      <c r="AW1" s="233"/>
      <c r="AX1" s="233"/>
    </row>
    <row r="2" spans="1:50" ht="15" customHeight="1">
      <c r="A2" s="272"/>
      <c r="B2" s="238"/>
      <c r="C2" s="271"/>
      <c r="D2" s="238" t="s">
        <v>198</v>
      </c>
      <c r="E2" s="603" t="str">
        <f>'Cálculo de consumo'!E2</f>
        <v>Prueba</v>
      </c>
      <c r="F2" s="603"/>
      <c r="G2" s="603"/>
      <c r="H2" s="603"/>
      <c r="I2" s="324" t="s">
        <v>50</v>
      </c>
      <c r="J2" s="238"/>
      <c r="K2" s="238"/>
      <c r="L2" s="603" t="str">
        <f>'Cálculo de consumo'!J2</f>
        <v>Prueba</v>
      </c>
      <c r="M2" s="603"/>
      <c r="N2" s="603"/>
      <c r="O2" s="603"/>
      <c r="P2" s="238"/>
      <c r="Q2" s="238"/>
      <c r="R2" s="238"/>
      <c r="S2" s="272"/>
      <c r="T2" s="3"/>
      <c r="AR2" s="233"/>
      <c r="AS2" s="233"/>
      <c r="AT2" s="233"/>
      <c r="AU2" s="233"/>
      <c r="AV2" s="233"/>
      <c r="AW2" s="233"/>
      <c r="AX2" s="233"/>
    </row>
    <row r="3" spans="1:50" ht="15" customHeight="1">
      <c r="A3" s="272"/>
      <c r="B3" s="238"/>
      <c r="C3" s="271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72"/>
      <c r="T3" s="3"/>
      <c r="AR3" s="233"/>
      <c r="AS3" s="233"/>
      <c r="AT3" s="233"/>
      <c r="AU3" s="233"/>
      <c r="AV3" s="233"/>
      <c r="AW3" s="233"/>
      <c r="AX3" s="233"/>
    </row>
    <row r="4" spans="1:50">
      <c r="A4" s="272"/>
      <c r="B4" s="238"/>
      <c r="C4" s="271"/>
      <c r="D4" s="238" t="s">
        <v>51</v>
      </c>
      <c r="E4" s="603" t="str">
        <f>'Cálculo de consumo'!E4</f>
        <v>Prueba</v>
      </c>
      <c r="F4" s="603"/>
      <c r="G4" s="603"/>
      <c r="H4" s="603"/>
      <c r="I4" s="324" t="s">
        <v>52</v>
      </c>
      <c r="J4" s="238"/>
      <c r="K4" s="238"/>
      <c r="L4" s="605" t="str">
        <f>'Cálculo de consumo'!J4</f>
        <v>Prueba</v>
      </c>
      <c r="M4" s="603"/>
      <c r="N4" s="603"/>
      <c r="O4" s="603"/>
      <c r="P4" s="238"/>
      <c r="Q4" s="238"/>
      <c r="R4" s="238"/>
      <c r="S4" s="272"/>
      <c r="T4" s="3"/>
      <c r="AR4" s="233"/>
      <c r="AS4" s="233"/>
      <c r="AT4" s="233"/>
      <c r="AU4" s="233"/>
      <c r="AV4" s="233"/>
      <c r="AW4" s="233"/>
      <c r="AX4" s="233"/>
    </row>
    <row r="5" spans="1:50" ht="20.25">
      <c r="A5" s="272"/>
      <c r="B5" s="238"/>
      <c r="C5" s="238"/>
      <c r="D5" s="322" t="s">
        <v>318</v>
      </c>
      <c r="E5" s="239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72"/>
      <c r="T5" s="3"/>
      <c r="AR5" s="233"/>
      <c r="AS5" s="233"/>
      <c r="AT5" s="233"/>
      <c r="AU5" s="233"/>
      <c r="AV5" s="233"/>
      <c r="AW5" s="233"/>
      <c r="AX5" s="233"/>
    </row>
    <row r="6" spans="1:50" ht="21" thickBot="1">
      <c r="A6" s="272"/>
      <c r="B6" s="238"/>
      <c r="C6" s="238"/>
      <c r="D6" s="239"/>
      <c r="E6" s="239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72"/>
      <c r="T6" s="3"/>
      <c r="AR6" s="233"/>
      <c r="AS6" s="233"/>
      <c r="AT6" s="233"/>
      <c r="AU6" s="233"/>
      <c r="AV6" s="233"/>
      <c r="AW6" s="233"/>
      <c r="AX6" s="233"/>
    </row>
    <row r="7" spans="1:50" ht="24.75" customHeight="1" thickTop="1" thickBot="1">
      <c r="A7" s="272"/>
      <c r="B7" s="238"/>
      <c r="C7" s="238"/>
      <c r="D7" s="598" t="s">
        <v>403</v>
      </c>
      <c r="E7" s="599"/>
      <c r="F7" s="220">
        <v>30</v>
      </c>
      <c r="G7" s="400"/>
      <c r="H7" s="238"/>
      <c r="I7" s="675" t="s">
        <v>310</v>
      </c>
      <c r="J7" s="676"/>
      <c r="K7" s="440" t="str">
        <f>VLOOKUP(V8,C27:D38,2,FALSE)</f>
        <v>Diciembre</v>
      </c>
      <c r="L7" s="238"/>
      <c r="M7" s="679" t="s">
        <v>441</v>
      </c>
      <c r="N7" s="679"/>
      <c r="O7" s="238"/>
      <c r="P7" s="506" t="b">
        <f>ISERR(M23)</f>
        <v>0</v>
      </c>
      <c r="Q7" s="238"/>
      <c r="R7" s="238"/>
      <c r="S7" s="272"/>
      <c r="T7" s="3"/>
      <c r="AR7" s="233"/>
      <c r="AS7" s="233"/>
      <c r="AT7" s="233"/>
      <c r="AU7" s="233"/>
      <c r="AV7" s="233"/>
      <c r="AW7" s="233"/>
      <c r="AX7" s="233"/>
    </row>
    <row r="8" spans="1:50" ht="24.75" customHeight="1" thickBot="1">
      <c r="A8" s="272"/>
      <c r="B8" s="238"/>
      <c r="C8" s="238"/>
      <c r="D8" s="598" t="s">
        <v>308</v>
      </c>
      <c r="E8" s="599"/>
      <c r="F8" s="220">
        <f>W8/100</f>
        <v>0.19</v>
      </c>
      <c r="G8" s="400"/>
      <c r="H8" s="238"/>
      <c r="I8" s="677" t="s">
        <v>311</v>
      </c>
      <c r="J8" s="678"/>
      <c r="K8" s="439" t="str">
        <f>VLOOKUP(V9,C28:D39,2,FALSE)</f>
        <v>Diciembre</v>
      </c>
      <c r="L8" s="401"/>
      <c r="M8" s="680" t="str">
        <f>IF(P9=TRUE,"NO HAY MAS CONFIGURACIONES ÓPTIMAS HIBRIDAS POSIBLES",IF(P8=TRUE,"SOLO HAY DOS CONFIGURACIONES HÍBRIDAS POSIBLES",IF(P7=TRUE,"SOLO HAY TRES CONFIGURACIONES HÍBRIDAS POSIBLES","")))</f>
        <v/>
      </c>
      <c r="N8" s="680"/>
      <c r="O8" s="403"/>
      <c r="P8" s="506" t="b">
        <f>ISERR(M20)</f>
        <v>0</v>
      </c>
      <c r="Q8" s="238"/>
      <c r="R8" s="403"/>
      <c r="S8" s="509"/>
      <c r="T8" s="111"/>
      <c r="U8" s="51">
        <f>MIN(E27:E38)</f>
        <v>3.6039448742820293</v>
      </c>
      <c r="V8" s="59">
        <f>MATCH(U8,E27:E38,0)</f>
        <v>12</v>
      </c>
      <c r="W8" s="59">
        <v>19</v>
      </c>
      <c r="X8" s="51">
        <f>MIN(AO27:AO92)</f>
        <v>108175.29678587049</v>
      </c>
      <c r="AB8" s="48"/>
      <c r="AR8" s="233"/>
      <c r="AS8" s="233"/>
      <c r="AT8" s="233"/>
      <c r="AU8" s="233"/>
      <c r="AV8" s="233"/>
      <c r="AW8" s="233"/>
      <c r="AX8" s="233"/>
    </row>
    <row r="9" spans="1:50" ht="24.75" customHeight="1" thickBot="1">
      <c r="A9" s="272"/>
      <c r="B9" s="238"/>
      <c r="C9" s="238"/>
      <c r="D9" s="598" t="s">
        <v>428</v>
      </c>
      <c r="E9" s="599"/>
      <c r="F9" s="220">
        <v>4500</v>
      </c>
      <c r="G9" s="400"/>
      <c r="H9" s="238"/>
      <c r="I9" s="233"/>
      <c r="J9" s="233"/>
      <c r="K9" s="233"/>
      <c r="L9" s="401"/>
      <c r="M9" s="238"/>
      <c r="N9" s="404"/>
      <c r="O9" s="404"/>
      <c r="P9" s="506" t="b">
        <f>ISERR(M17)</f>
        <v>0</v>
      </c>
      <c r="Q9" s="238"/>
      <c r="R9" s="403"/>
      <c r="S9" s="509"/>
      <c r="T9" s="111"/>
      <c r="U9" s="52">
        <f>MIN(F27:F38)</f>
        <v>2.5</v>
      </c>
      <c r="V9" s="59">
        <f>MATCH(U9,F27:F38,0)</f>
        <v>12</v>
      </c>
      <c r="W9" s="48"/>
      <c r="X9" s="48">
        <f>SMALL(AO27:AO92,2)</f>
        <v>110570.72397471029</v>
      </c>
      <c r="AB9" s="48"/>
      <c r="AR9" s="233"/>
      <c r="AS9" s="233"/>
      <c r="AT9" s="233"/>
      <c r="AU9" s="233"/>
      <c r="AV9" s="233"/>
      <c r="AW9" s="233"/>
      <c r="AX9" s="233"/>
    </row>
    <row r="10" spans="1:50" ht="24" customHeight="1" thickTop="1" thickBot="1">
      <c r="A10" s="272"/>
      <c r="B10" s="238"/>
      <c r="C10" s="238"/>
      <c r="D10" s="598" t="s">
        <v>494</v>
      </c>
      <c r="E10" s="599"/>
      <c r="F10" s="220">
        <v>400</v>
      </c>
      <c r="G10" s="400"/>
      <c r="H10" s="238"/>
      <c r="I10" s="574"/>
      <c r="J10" s="574"/>
      <c r="K10" s="574"/>
      <c r="L10" s="402"/>
      <c r="M10" s="446" t="s">
        <v>317</v>
      </c>
      <c r="N10" s="238"/>
      <c r="O10" s="238"/>
      <c r="P10" s="238"/>
      <c r="Q10" s="238"/>
      <c r="R10" s="403"/>
      <c r="S10" s="509"/>
      <c r="T10" s="111"/>
      <c r="U10" s="48"/>
      <c r="V10" s="48"/>
      <c r="W10" s="48"/>
      <c r="X10" s="48">
        <f>SMALL($AO$27:$AO$92,3)</f>
        <v>125277.48833635176</v>
      </c>
      <c r="AB10" s="48"/>
      <c r="AR10" s="233"/>
      <c r="AS10" s="233"/>
      <c r="AT10" s="233"/>
      <c r="AU10" s="233"/>
      <c r="AV10" s="233"/>
      <c r="AW10" s="233"/>
      <c r="AX10" s="233"/>
    </row>
    <row r="11" spans="1:50" ht="30.75" customHeight="1" thickTop="1" thickBot="1">
      <c r="A11" s="272"/>
      <c r="B11" s="238"/>
      <c r="C11" s="238"/>
      <c r="D11" s="238"/>
      <c r="E11" s="239"/>
      <c r="F11" s="238"/>
      <c r="G11" s="238"/>
      <c r="H11" s="238"/>
      <c r="I11" s="675" t="s">
        <v>315</v>
      </c>
      <c r="J11" s="676"/>
      <c r="K11" s="442">
        <f>MAX(U27:U38)</f>
        <v>25.734619792288711</v>
      </c>
      <c r="L11" s="664"/>
      <c r="M11" s="447">
        <f>K11*F9</f>
        <v>115805.78906529921</v>
      </c>
      <c r="N11" s="238"/>
      <c r="O11" s="238"/>
      <c r="P11" s="404"/>
      <c r="Q11" s="404"/>
      <c r="R11" s="403"/>
      <c r="S11" s="509"/>
      <c r="T11" s="111"/>
      <c r="U11" s="48"/>
      <c r="V11" s="48"/>
      <c r="W11" s="48"/>
      <c r="X11" s="48">
        <f>SMALL($AO$27:$AO$92,4)</f>
        <v>175072.97579905251</v>
      </c>
      <c r="Y11" s="48"/>
      <c r="AB11" s="48"/>
      <c r="AR11" s="233"/>
      <c r="AS11" s="233"/>
      <c r="AT11" s="233"/>
      <c r="AU11" s="233"/>
      <c r="AV11" s="233"/>
      <c r="AW11" s="233"/>
      <c r="AX11" s="233"/>
    </row>
    <row r="12" spans="1:50" ht="33.75" customHeight="1" thickTop="1" thickBot="1">
      <c r="A12" s="272"/>
      <c r="B12" s="238"/>
      <c r="C12" s="238"/>
      <c r="D12" s="238"/>
      <c r="E12" s="239"/>
      <c r="F12" s="238"/>
      <c r="G12" s="238"/>
      <c r="H12" s="238"/>
      <c r="I12" s="677" t="s">
        <v>316</v>
      </c>
      <c r="J12" s="678"/>
      <c r="K12" s="441">
        <f>MAX(V27:V38)</f>
        <v>812.88796500733065</v>
      </c>
      <c r="L12" s="664"/>
      <c r="M12" s="447">
        <f>K12*F10</f>
        <v>325155.18600293226</v>
      </c>
      <c r="N12" s="238"/>
      <c r="O12" s="238"/>
      <c r="P12" s="238"/>
      <c r="Q12" s="238"/>
      <c r="R12" s="238"/>
      <c r="S12" s="272"/>
      <c r="T12" s="3"/>
      <c r="AR12" s="233"/>
      <c r="AS12" s="233"/>
      <c r="AT12" s="233"/>
      <c r="AU12" s="233"/>
      <c r="AV12" s="233"/>
      <c r="AW12" s="233"/>
      <c r="AX12" s="233"/>
    </row>
    <row r="13" spans="1:50" ht="11.25" customHeight="1" thickTop="1" thickBot="1">
      <c r="A13" s="272"/>
      <c r="B13" s="238"/>
      <c r="C13" s="238"/>
      <c r="D13" s="238"/>
      <c r="E13" s="239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72"/>
      <c r="T13" s="3"/>
      <c r="AR13" s="233"/>
      <c r="AS13" s="233"/>
      <c r="AT13" s="233"/>
      <c r="AU13" s="233"/>
      <c r="AV13" s="233"/>
      <c r="AW13" s="233"/>
      <c r="AX13" s="233"/>
    </row>
    <row r="14" spans="1:50" ht="24.75" customHeight="1" thickTop="1" thickBot="1">
      <c r="A14" s="272"/>
      <c r="B14" s="238"/>
      <c r="C14" s="238"/>
      <c r="D14" s="238"/>
      <c r="E14" s="239"/>
      <c r="F14" s="238"/>
      <c r="G14" s="238"/>
      <c r="H14" s="238"/>
      <c r="I14" s="668" t="s">
        <v>401</v>
      </c>
      <c r="J14" s="444" t="s">
        <v>399</v>
      </c>
      <c r="K14" s="443">
        <f>(VLOOKUP(X8,$AO$27:$AQ$92,3,FALSE)*(1.2))</f>
        <v>21.779677844319963</v>
      </c>
      <c r="L14" s="664"/>
      <c r="M14" s="665">
        <f>(K14*F9)+(K15*F10)</f>
        <v>129810.35614304458</v>
      </c>
      <c r="N14" s="238"/>
      <c r="O14" s="238"/>
      <c r="P14" s="238"/>
      <c r="Q14" s="238"/>
      <c r="R14" s="238"/>
      <c r="S14" s="272"/>
      <c r="T14" s="3"/>
      <c r="AR14" s="233"/>
      <c r="AS14" s="233"/>
      <c r="AT14" s="233"/>
      <c r="AU14" s="233"/>
      <c r="AV14" s="233"/>
      <c r="AW14" s="233"/>
      <c r="AX14" s="233"/>
    </row>
    <row r="15" spans="1:50" ht="21.75" thickTop="1" thickBot="1">
      <c r="A15" s="272"/>
      <c r="B15" s="238"/>
      <c r="C15" s="238"/>
      <c r="D15" s="238"/>
      <c r="E15" s="239"/>
      <c r="F15" s="238"/>
      <c r="G15" s="238"/>
      <c r="H15" s="238"/>
      <c r="I15" s="669"/>
      <c r="J15" s="444" t="s">
        <v>400</v>
      </c>
      <c r="K15" s="445">
        <f>(VLOOKUP(X8,$AO$27:$AQ$92,2,FALSE)*(1.2))</f>
        <v>79.504514609011906</v>
      </c>
      <c r="L15" s="664"/>
      <c r="M15" s="665"/>
      <c r="N15" s="238"/>
      <c r="O15" s="238"/>
      <c r="P15" s="238"/>
      <c r="Q15" s="238"/>
      <c r="R15" s="238"/>
      <c r="S15" s="272"/>
      <c r="T15" s="3"/>
      <c r="AR15" s="233"/>
      <c r="AS15" s="233"/>
      <c r="AT15" s="233"/>
      <c r="AU15" s="233"/>
      <c r="AV15" s="233"/>
      <c r="AW15" s="233"/>
      <c r="AX15" s="233"/>
    </row>
    <row r="16" spans="1:50" ht="10.5" customHeight="1" thickTop="1">
      <c r="A16" s="272"/>
      <c r="B16" s="238"/>
      <c r="C16" s="238"/>
      <c r="D16" s="238"/>
      <c r="E16" s="239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72"/>
      <c r="T16" s="3"/>
      <c r="AR16" s="233"/>
      <c r="AS16" s="233"/>
      <c r="AT16" s="233"/>
      <c r="AU16" s="233"/>
      <c r="AV16" s="233"/>
      <c r="AW16" s="233"/>
      <c r="AX16" s="233"/>
    </row>
    <row r="17" spans="1:50" ht="20.25" hidden="1" outlineLevel="1">
      <c r="A17" s="272"/>
      <c r="B17" s="238"/>
      <c r="C17" s="238"/>
      <c r="D17" s="238"/>
      <c r="E17" s="239"/>
      <c r="F17" s="238"/>
      <c r="G17" s="238"/>
      <c r="H17" s="238"/>
      <c r="I17" s="666" t="s">
        <v>409</v>
      </c>
      <c r="J17" s="413" t="s">
        <v>399</v>
      </c>
      <c r="K17" s="414">
        <f>(VLOOKUP(X9,$AO$27:$AQ$92,3,FALSE)*(1.2))</f>
        <v>10.322487604259079</v>
      </c>
      <c r="L17" s="664"/>
      <c r="M17" s="665">
        <f>(K17*F9)+(K18*F10)</f>
        <v>132684.86876965236</v>
      </c>
      <c r="N17" s="238"/>
      <c r="O17" s="238"/>
      <c r="P17" s="238"/>
      <c r="Q17" s="238"/>
      <c r="R17" s="238"/>
      <c r="S17" s="272"/>
      <c r="T17" s="3"/>
      <c r="AR17" s="233"/>
      <c r="AS17" s="233"/>
      <c r="AT17" s="233"/>
      <c r="AU17" s="233"/>
      <c r="AV17" s="233"/>
      <c r="AW17" s="233"/>
      <c r="AX17" s="233"/>
    </row>
    <row r="18" spans="1:50" ht="20.25" hidden="1" outlineLevel="1">
      <c r="A18" s="272"/>
      <c r="B18" s="238"/>
      <c r="C18" s="238"/>
      <c r="D18" s="238"/>
      <c r="E18" s="239"/>
      <c r="F18" s="238"/>
      <c r="G18" s="238"/>
      <c r="H18" s="238"/>
      <c r="I18" s="667"/>
      <c r="J18" s="413" t="s">
        <v>400</v>
      </c>
      <c r="K18" s="415">
        <f>(VLOOKUP(X9,$AO$27:$AQ$92,2,FALSE)*(1.2))</f>
        <v>215.58418637621622</v>
      </c>
      <c r="L18" s="664"/>
      <c r="M18" s="665"/>
      <c r="N18" s="238"/>
      <c r="O18" s="238"/>
      <c r="P18" s="238"/>
      <c r="Q18" s="238"/>
      <c r="R18" s="238"/>
      <c r="S18" s="272"/>
      <c r="T18" s="3"/>
      <c r="AR18" s="233"/>
      <c r="AS18" s="233"/>
      <c r="AT18" s="233"/>
      <c r="AU18" s="233"/>
      <c r="AV18" s="233"/>
      <c r="AW18" s="233"/>
      <c r="AX18" s="233"/>
    </row>
    <row r="19" spans="1:50" ht="10.5" hidden="1" customHeight="1" outlineLevel="1">
      <c r="A19" s="272"/>
      <c r="B19" s="238"/>
      <c r="C19" s="238"/>
      <c r="D19" s="238"/>
      <c r="E19" s="239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72"/>
      <c r="T19" s="3"/>
      <c r="AR19" s="233"/>
      <c r="AS19" s="233"/>
      <c r="AT19" s="233"/>
      <c r="AU19" s="233"/>
      <c r="AV19" s="233"/>
      <c r="AW19" s="233"/>
      <c r="AX19" s="233"/>
    </row>
    <row r="20" spans="1:50" ht="20.25" hidden="1" customHeight="1" outlineLevel="1">
      <c r="A20" s="272"/>
      <c r="B20" s="238"/>
      <c r="C20" s="238"/>
      <c r="D20" s="238"/>
      <c r="E20" s="239"/>
      <c r="F20" s="238"/>
      <c r="G20" s="238"/>
      <c r="H20" s="238"/>
      <c r="I20" s="666" t="s">
        <v>410</v>
      </c>
      <c r="J20" s="413" t="s">
        <v>399</v>
      </c>
      <c r="K20" s="414">
        <f>(VLOOKUP(X10,$AO$27:$AQ$92,3,FALSE)*(1.2))</f>
        <v>19.720484568630336</v>
      </c>
      <c r="L20" s="664"/>
      <c r="M20" s="665">
        <f>(K20*F9)+(K21*F10)</f>
        <v>150332.98600362212</v>
      </c>
      <c r="N20" s="238"/>
      <c r="O20" s="238"/>
      <c r="P20" s="238"/>
      <c r="Q20" s="238"/>
      <c r="R20" s="238"/>
      <c r="S20" s="272"/>
      <c r="T20" s="3"/>
      <c r="AR20" s="233"/>
      <c r="AS20" s="233"/>
      <c r="AT20" s="233"/>
      <c r="AU20" s="233"/>
      <c r="AV20" s="233"/>
      <c r="AW20" s="233"/>
      <c r="AX20" s="233"/>
    </row>
    <row r="21" spans="1:50" ht="20.25" hidden="1" outlineLevel="1">
      <c r="A21" s="272"/>
      <c r="B21" s="238"/>
      <c r="C21" s="238"/>
      <c r="D21" s="238"/>
      <c r="E21" s="239"/>
      <c r="F21" s="238"/>
      <c r="G21" s="238"/>
      <c r="H21" s="238"/>
      <c r="I21" s="667"/>
      <c r="J21" s="413" t="s">
        <v>400</v>
      </c>
      <c r="K21" s="415">
        <f>(VLOOKUP(X10,$AO$27:$AQ$92,2,FALSE)*(1.2))</f>
        <v>153.977013611964</v>
      </c>
      <c r="L21" s="664"/>
      <c r="M21" s="665"/>
      <c r="N21" s="238"/>
      <c r="O21" s="238"/>
      <c r="P21" s="238"/>
      <c r="Q21" s="238"/>
      <c r="R21" s="238"/>
      <c r="S21" s="272"/>
      <c r="T21" s="3"/>
      <c r="AR21" s="233"/>
      <c r="AS21" s="233"/>
      <c r="AT21" s="233"/>
      <c r="AU21" s="233"/>
      <c r="AV21" s="233"/>
      <c r="AW21" s="233"/>
      <c r="AX21" s="233"/>
    </row>
    <row r="22" spans="1:50" ht="12" hidden="1" customHeight="1" outlineLevel="1">
      <c r="A22" s="272"/>
      <c r="B22" s="238"/>
      <c r="C22" s="238"/>
      <c r="D22" s="239"/>
      <c r="E22" s="239"/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72"/>
      <c r="T22" s="3"/>
      <c r="AR22" s="233"/>
      <c r="AS22" s="233"/>
      <c r="AT22" s="233"/>
      <c r="AU22" s="233"/>
      <c r="AV22" s="233"/>
      <c r="AW22" s="233"/>
      <c r="AX22" s="233"/>
    </row>
    <row r="23" spans="1:50" ht="20.25" hidden="1" customHeight="1" outlineLevel="1">
      <c r="A23" s="272"/>
      <c r="B23" s="238"/>
      <c r="C23" s="238"/>
      <c r="D23" s="238"/>
      <c r="E23" s="239"/>
      <c r="F23" s="238"/>
      <c r="G23" s="238"/>
      <c r="H23" s="238"/>
      <c r="I23" s="666" t="s">
        <v>411</v>
      </c>
      <c r="J23" s="413" t="s">
        <v>399</v>
      </c>
      <c r="K23" s="414">
        <f>VLOOKUP(X11,$AO$27:$AQ$92,3,FALSE)*1.2</f>
        <v>13.724847539293298</v>
      </c>
      <c r="L23" s="664"/>
      <c r="M23" s="665">
        <f>(K23*F9)+(K24*F10)</f>
        <v>210087.57095886295</v>
      </c>
      <c r="N23" s="238"/>
      <c r="O23" s="238"/>
      <c r="P23" s="238"/>
      <c r="Q23" s="238"/>
      <c r="R23" s="238"/>
      <c r="S23" s="272"/>
      <c r="T23" s="3"/>
      <c r="AR23" s="233"/>
      <c r="AS23" s="233"/>
      <c r="AT23" s="233"/>
      <c r="AU23" s="233"/>
      <c r="AV23" s="233"/>
      <c r="AW23" s="233"/>
      <c r="AX23" s="233"/>
    </row>
    <row r="24" spans="1:50" ht="20.25" hidden="1" outlineLevel="1">
      <c r="A24" s="272"/>
      <c r="B24" s="238"/>
      <c r="C24" s="238"/>
      <c r="D24" s="238"/>
      <c r="E24" s="239"/>
      <c r="F24" s="238"/>
      <c r="G24" s="238"/>
      <c r="H24" s="238"/>
      <c r="I24" s="667"/>
      <c r="J24" s="413" t="s">
        <v>400</v>
      </c>
      <c r="K24" s="415">
        <f>VLOOKUP(X11,$AO$27:$AQ$92,2,FALSE)*1.2</f>
        <v>370.81439258010784</v>
      </c>
      <c r="L24" s="664"/>
      <c r="M24" s="665"/>
      <c r="N24" s="238"/>
      <c r="O24" s="238"/>
      <c r="P24" s="238"/>
      <c r="Q24" s="238"/>
      <c r="R24" s="238"/>
      <c r="S24" s="272"/>
      <c r="T24" s="3"/>
      <c r="AR24" s="233"/>
      <c r="AS24" s="233"/>
      <c r="AT24" s="233"/>
      <c r="AU24" s="233"/>
      <c r="AV24" s="233"/>
      <c r="AW24" s="233"/>
      <c r="AX24" s="233"/>
    </row>
    <row r="25" spans="1:50" ht="15" customHeight="1" collapsed="1" thickBot="1">
      <c r="A25" s="272"/>
      <c r="B25" s="238"/>
      <c r="C25" s="238"/>
      <c r="D25" s="239"/>
      <c r="E25" s="239"/>
      <c r="F25" s="367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72"/>
      <c r="T25" s="3"/>
      <c r="AR25" s="233"/>
      <c r="AS25" s="233"/>
      <c r="AT25" s="233"/>
      <c r="AU25" s="233"/>
      <c r="AV25" s="233"/>
      <c r="AW25" s="233"/>
      <c r="AX25" s="233"/>
    </row>
    <row r="26" spans="1:50" ht="51.75" customHeight="1" thickTop="1" thickBot="1">
      <c r="A26" s="272"/>
      <c r="B26" s="238"/>
      <c r="C26" s="238"/>
      <c r="D26" s="392" t="s">
        <v>15</v>
      </c>
      <c r="E26" s="393" t="s">
        <v>30</v>
      </c>
      <c r="F26" s="394" t="s">
        <v>307</v>
      </c>
      <c r="G26" s="393" t="s">
        <v>404</v>
      </c>
      <c r="H26" s="46" t="s">
        <v>312</v>
      </c>
      <c r="I26" s="393" t="s">
        <v>309</v>
      </c>
      <c r="J26" s="393" t="s">
        <v>402</v>
      </c>
      <c r="K26" s="396" t="s">
        <v>405</v>
      </c>
      <c r="L26" s="674"/>
      <c r="M26" s="398" t="s">
        <v>406</v>
      </c>
      <c r="N26" s="397" t="s">
        <v>407</v>
      </c>
      <c r="O26" s="672"/>
      <c r="P26" s="393" t="s">
        <v>412</v>
      </c>
      <c r="Q26" s="393" t="s">
        <v>413</v>
      </c>
      <c r="R26" s="399" t="s">
        <v>414</v>
      </c>
      <c r="S26" s="510"/>
      <c r="T26" s="46"/>
      <c r="U26" s="46" t="s">
        <v>313</v>
      </c>
      <c r="V26" s="46" t="s">
        <v>314</v>
      </c>
      <c r="W26" s="46"/>
      <c r="X26" s="46" t="s">
        <v>322</v>
      </c>
      <c r="Y26" s="46" t="s">
        <v>321</v>
      </c>
      <c r="Z26" s="46" t="s">
        <v>320</v>
      </c>
      <c r="AA26" s="46" t="s">
        <v>319</v>
      </c>
      <c r="AB26" s="46" t="s">
        <v>324</v>
      </c>
      <c r="AC26" s="46" t="s">
        <v>323</v>
      </c>
      <c r="AD26" s="46" t="s">
        <v>328</v>
      </c>
      <c r="AE26" s="46" t="s">
        <v>327</v>
      </c>
      <c r="AF26" s="46" t="s">
        <v>339</v>
      </c>
      <c r="AG26" s="46" t="s">
        <v>340</v>
      </c>
      <c r="AH26" s="46"/>
      <c r="AI26" s="46" t="s">
        <v>342</v>
      </c>
      <c r="AJ26" s="46" t="s">
        <v>343</v>
      </c>
      <c r="AK26" s="46" t="s">
        <v>344</v>
      </c>
      <c r="AO26" s="46" t="s">
        <v>289</v>
      </c>
      <c r="AR26" s="233"/>
      <c r="AS26" s="233"/>
      <c r="AT26" s="233"/>
      <c r="AU26" s="233"/>
      <c r="AV26" s="233"/>
      <c r="AW26" s="233"/>
      <c r="AX26" s="233"/>
    </row>
    <row r="27" spans="1:50" ht="15.75" thickBot="1">
      <c r="A27" s="272"/>
      <c r="B27" s="238"/>
      <c r="C27" s="391">
        <v>1</v>
      </c>
      <c r="D27" s="169" t="s">
        <v>16</v>
      </c>
      <c r="E27" s="173">
        <f>W95</f>
        <v>4.1042583365239427</v>
      </c>
      <c r="F27" s="395">
        <v>3</v>
      </c>
      <c r="G27" s="173">
        <f>IF($F$7=10,F27,F27*($F$7/10)^0.142857)</f>
        <v>3.5097918874330896</v>
      </c>
      <c r="H27" s="47">
        <f>(G27^3)*24/1000</f>
        <v>1.0376606292755366</v>
      </c>
      <c r="I27" s="173">
        <f>H27*$F$8</f>
        <v>0.19715551956235194</v>
      </c>
      <c r="J27" s="173">
        <f>IF('Intensidad y Ángulo incli.'!$O$20=2,'Intensidad y Ángulo incli.'!E25*'Cálculo de consumo'!$F$34,'Intensidad y Ángulo incli.'!F25*'Cálculo de consumo'!$F$34)/1000</f>
        <v>92.746151092015765</v>
      </c>
      <c r="K27" s="173">
        <f>$K$11*E27</f>
        <v>105.621527819775</v>
      </c>
      <c r="L27" s="673"/>
      <c r="M27" s="173">
        <f>$K$12*I27</f>
        <v>160.26534908700324</v>
      </c>
      <c r="N27" s="173">
        <f>($K$14*E27)+($K$15*I27)</f>
        <v>105.06417824464836</v>
      </c>
      <c r="O27" s="673"/>
      <c r="P27" s="173">
        <f>($K$17*E27)+($K$18*I27)</f>
        <v>84.869768077875221</v>
      </c>
      <c r="Q27" s="173">
        <f>($K$20*E27)+($K$21*I27)</f>
        <v>111.29538131041892</v>
      </c>
      <c r="R27" s="173">
        <f>($K$23*E27)+($K$24*I27)</f>
        <v>129.43842416099375</v>
      </c>
      <c r="S27" s="511"/>
      <c r="T27" s="390"/>
      <c r="U27" s="50">
        <f>J27/E27</f>
        <v>22.597542232335726</v>
      </c>
      <c r="V27" s="48">
        <f>J27/I27</f>
        <v>470.42127604590894</v>
      </c>
      <c r="W27" s="60" t="s">
        <v>326</v>
      </c>
      <c r="X27" s="61">
        <f>IF($U$27=0,0,$U$27/$V$27)</f>
        <v>4.8036820150393039E-2</v>
      </c>
      <c r="Y27" s="61">
        <f>IF(V28=0,0,U28/V28)</f>
        <v>3.9930841670923228E-2</v>
      </c>
      <c r="Z27" s="62">
        <f>U28</f>
        <v>20.795300024413351</v>
      </c>
      <c r="AA27" s="62">
        <f>$U$27</f>
        <v>22.597542232335726</v>
      </c>
      <c r="AB27" s="62">
        <f>Z27-AA27</f>
        <v>-1.8022422079223759</v>
      </c>
      <c r="AC27" s="61">
        <f>Y27-X27</f>
        <v>-8.1059784794698109E-3</v>
      </c>
      <c r="AD27" s="63">
        <f>IF(AC27=0,0,AB27/AC27)</f>
        <v>222.33493618160401</v>
      </c>
      <c r="AE27" s="64">
        <f>-((X27)*AD27)+AA27</f>
        <v>11.9172788898309</v>
      </c>
      <c r="AF27" s="64">
        <f>IF(OR(AD27&gt;$K$12,AD27&lt;0),0,AD27)</f>
        <v>222.33493618160401</v>
      </c>
      <c r="AG27" s="64">
        <f>IF(OR(AE27&gt;$K$11,AE27&lt;0),0,AE27)</f>
        <v>11.9172788898309</v>
      </c>
      <c r="AH27">
        <f>IF(AF27&gt;0,AF27,"")</f>
        <v>222.33493618160401</v>
      </c>
      <c r="AI27" s="107">
        <f>MIN(AH27:AH37)</f>
        <v>128.31417800996999</v>
      </c>
      <c r="AJ27" s="96">
        <f>MAX(AG27:AG37)</f>
        <v>16.433737140525281</v>
      </c>
      <c r="AK27" s="48">
        <f>IF(OR(AI27=0,AJ27=0),"",VLOOKUP(AI27,AF27:AG37,2,FALSE))</f>
        <v>16.433737140525281</v>
      </c>
      <c r="AL27" s="57" t="str">
        <f>IF(AJ27=AK27,"ok","fallo")</f>
        <v>ok</v>
      </c>
      <c r="AM27" s="108">
        <f>IF($AL$27="ok",IF(AI27&lt;0.5,0.5,AI27),"")</f>
        <v>128.31417800996999</v>
      </c>
      <c r="AN27" s="48">
        <f>IF($AL$27="ok",AJ27,"")</f>
        <v>16.433737140525281</v>
      </c>
      <c r="AO27" s="108">
        <f>IF(AM27="","",(AM27*$F$10)+(AN27*$F$9))</f>
        <v>125277.48833635176</v>
      </c>
      <c r="AP27" s="108">
        <f>AM27</f>
        <v>128.31417800996999</v>
      </c>
      <c r="AQ27" s="108">
        <f>AN27</f>
        <v>16.433737140525281</v>
      </c>
      <c r="AR27" s="233"/>
      <c r="AS27" s="233"/>
      <c r="AT27" s="233"/>
      <c r="AU27" s="233"/>
      <c r="AV27" s="233"/>
      <c r="AW27" s="233"/>
      <c r="AX27" s="233"/>
    </row>
    <row r="28" spans="1:50" ht="15.75" thickTop="1">
      <c r="A28" s="272"/>
      <c r="B28" s="238"/>
      <c r="C28" s="391">
        <v>2</v>
      </c>
      <c r="D28" s="169" t="s">
        <v>17</v>
      </c>
      <c r="E28" s="173">
        <f t="shared" ref="E28:E38" si="0">W96</f>
        <v>4.4599573453200128</v>
      </c>
      <c r="F28" s="395">
        <v>2.9</v>
      </c>
      <c r="G28" s="173">
        <f t="shared" ref="G28:G38" si="1">IF($F$7=10,F28,F28*($F$7/10)^0.142857)</f>
        <v>3.3927988245186533</v>
      </c>
      <c r="H28" s="47">
        <f t="shared" ref="H28:H38" si="2">(G28^3)*24/1000</f>
        <v>0.93731500323707639</v>
      </c>
      <c r="I28" s="173">
        <f t="shared" ref="I28:I38" si="3">H28*$F$8</f>
        <v>0.17808985061504451</v>
      </c>
      <c r="J28" s="173">
        <f>IF('Intensidad y Ángulo incli.'!$O$20=2,'Intensidad y Ángulo incli.'!E26*'Cálculo de consumo'!$F$34,'Intensidad y Ángulo incli.'!F26*'Cálculo de consumo'!$F$34)/1000</f>
        <v>92.746151092015765</v>
      </c>
      <c r="K28" s="173">
        <f t="shared" ref="K28:K38" si="4">$K$11*E28</f>
        <v>114.77530657163582</v>
      </c>
      <c r="L28" s="672"/>
      <c r="M28" s="173">
        <f t="shared" ref="M28:M38" si="5">$K$12*I28</f>
        <v>144.76709625492305</v>
      </c>
      <c r="N28" s="173">
        <f t="shared" ref="N28:N38" si="6">($K$14*E28)+($K$15*I28)</f>
        <v>111.29538131041892</v>
      </c>
      <c r="O28" s="672"/>
      <c r="P28" s="173">
        <f t="shared" ref="P28:P38" si="7">($K$17*E28)+($K$18*I28)</f>
        <v>84.431209959296325</v>
      </c>
      <c r="Q28" s="173">
        <f t="shared" ref="Q28:Q38" si="8">($K$20*E28)+($K$21*I28)</f>
        <v>115.37426335743817</v>
      </c>
      <c r="R28" s="173">
        <f t="shared" ref="R28:R38" si="9">($K$23*E28)+($K$24*I28)</f>
        <v>127.25051437676834</v>
      </c>
      <c r="S28" s="511"/>
      <c r="T28" s="390"/>
      <c r="U28" s="50">
        <f t="shared" ref="U28:U38" si="10">J28/E28</f>
        <v>20.795300024413351</v>
      </c>
      <c r="V28" s="48">
        <f t="shared" ref="V28:V38" si="11">J28/I28</f>
        <v>520.78291251135931</v>
      </c>
      <c r="W28" s="60" t="s">
        <v>329</v>
      </c>
      <c r="X28" s="61">
        <f t="shared" ref="X28:X37" si="12">IF($U$27=0,0,$U$27/$V$27)</f>
        <v>4.8036820150393039E-2</v>
      </c>
      <c r="Y28" s="61">
        <f t="shared" ref="Y28:Y37" si="13">IF(V29=0,0,U29/V29)</f>
        <v>3.0535098559320382E-2</v>
      </c>
      <c r="Z28" s="62">
        <f>U29</f>
        <v>15.90215756154428</v>
      </c>
      <c r="AA28" s="62">
        <f>$U$27</f>
        <v>22.597542232335726</v>
      </c>
      <c r="AB28" s="62">
        <f>Z28-AA28</f>
        <v>-6.6953846707914462</v>
      </c>
      <c r="AC28" s="61">
        <f>Y28-X28</f>
        <v>-1.7501721591072657E-2</v>
      </c>
      <c r="AD28" s="63">
        <f t="shared" ref="AD28:AD37" si="14">IF(AC28=0,0,AB28/AC28)</f>
        <v>382.55577521051714</v>
      </c>
      <c r="AE28" s="64">
        <f>-((X28)*AD28)+AA28</f>
        <v>4.2207792610539272</v>
      </c>
      <c r="AF28" s="64">
        <f t="shared" ref="AF28:AF39" si="15">IF(OR(AD28&gt;$K$12,AD28&lt;0),0,AD28)</f>
        <v>382.55577521051714</v>
      </c>
      <c r="AG28" s="64">
        <f t="shared" ref="AG28:AG39" si="16">IF(OR(AE28&gt;$K$11,AE28&lt;0),0,AE28)</f>
        <v>4.2207792610539272</v>
      </c>
      <c r="AH28">
        <f t="shared" ref="AH28:AH36" si="17">IF(AF28&gt;0,AF28,"")</f>
        <v>382.55577521051714</v>
      </c>
      <c r="AK28" s="48"/>
      <c r="AR28" s="233"/>
      <c r="AS28" s="233"/>
      <c r="AT28" s="233"/>
      <c r="AU28" s="233"/>
      <c r="AV28" s="233"/>
      <c r="AW28" s="233"/>
      <c r="AX28" s="233"/>
    </row>
    <row r="29" spans="1:50" ht="15.75" thickBot="1">
      <c r="A29" s="272"/>
      <c r="B29" s="238"/>
      <c r="C29" s="391">
        <v>3</v>
      </c>
      <c r="D29" s="169" t="s">
        <v>18</v>
      </c>
      <c r="E29" s="173">
        <f t="shared" si="0"/>
        <v>5.8322998456700654</v>
      </c>
      <c r="F29" s="395">
        <v>2.9</v>
      </c>
      <c r="G29" s="173">
        <f t="shared" si="1"/>
        <v>3.3927988245186533</v>
      </c>
      <c r="H29" s="47">
        <f t="shared" si="2"/>
        <v>0.93731500323707639</v>
      </c>
      <c r="I29" s="173">
        <f t="shared" si="3"/>
        <v>0.17808985061504451</v>
      </c>
      <c r="J29" s="173">
        <f>IF('Intensidad y Ángulo incli.'!$O$20=2,'Intensidad y Ángulo incli.'!E27*'Cálculo de consumo'!$F$34,'Intensidad y Ángulo incli.'!F27*'Cálculo de consumo'!$F$34)/1000</f>
        <v>92.746151092015765</v>
      </c>
      <c r="K29" s="173">
        <f t="shared" si="4"/>
        <v>150.09201904294326</v>
      </c>
      <c r="L29" s="673"/>
      <c r="M29" s="173">
        <f t="shared" si="5"/>
        <v>144.76709625492305</v>
      </c>
      <c r="N29" s="173">
        <f t="shared" si="6"/>
        <v>141.18455886011162</v>
      </c>
      <c r="O29" s="673"/>
      <c r="P29" s="173">
        <f t="shared" si="7"/>
        <v>98.597198407957649</v>
      </c>
      <c r="Q29" s="173">
        <f t="shared" si="8"/>
        <v>142.43752245846696</v>
      </c>
      <c r="R29" s="173">
        <f t="shared" si="9"/>
        <v>146.08570596576536</v>
      </c>
      <c r="S29" s="511"/>
      <c r="T29" s="390"/>
      <c r="U29" s="50">
        <f t="shared" si="10"/>
        <v>15.90215756154428</v>
      </c>
      <c r="V29" s="48">
        <f t="shared" si="11"/>
        <v>520.78291251135931</v>
      </c>
      <c r="W29" s="60" t="s">
        <v>330</v>
      </c>
      <c r="X29" s="61">
        <f t="shared" si="12"/>
        <v>4.8036820150393039E-2</v>
      </c>
      <c r="Y29" s="61">
        <f t="shared" si="13"/>
        <v>6.4954748473815063E-2</v>
      </c>
      <c r="Z29" s="62">
        <f>U30</f>
        <v>16.287575916173076</v>
      </c>
      <c r="AA29" s="62">
        <f>$U$27</f>
        <v>22.597542232335726</v>
      </c>
      <c r="AB29" s="62">
        <f>Z29-AA29</f>
        <v>-6.3099663161626509</v>
      </c>
      <c r="AC29" s="61">
        <f>Y29-X29</f>
        <v>1.6917928323422024E-2</v>
      </c>
      <c r="AD29" s="63">
        <f t="shared" si="14"/>
        <v>-372.97511820208024</v>
      </c>
      <c r="AE29" s="64">
        <f>-((X29)*AD29)+AA29</f>
        <v>40.514080905980641</v>
      </c>
      <c r="AF29" s="64">
        <f t="shared" si="15"/>
        <v>0</v>
      </c>
      <c r="AG29" s="64">
        <f t="shared" si="16"/>
        <v>0</v>
      </c>
      <c r="AH29" t="str">
        <f t="shared" si="17"/>
        <v/>
      </c>
      <c r="AK29" s="48"/>
      <c r="AR29" s="233"/>
      <c r="AS29" s="233"/>
      <c r="AT29" s="233"/>
      <c r="AU29" s="233"/>
      <c r="AV29" s="233"/>
      <c r="AW29" s="233"/>
      <c r="AX29" s="233"/>
    </row>
    <row r="30" spans="1:50" ht="15.75" thickTop="1">
      <c r="A30" s="272"/>
      <c r="B30" s="238"/>
      <c r="C30" s="391">
        <v>4</v>
      </c>
      <c r="D30" s="169" t="s">
        <v>19</v>
      </c>
      <c r="E30" s="173">
        <f t="shared" si="0"/>
        <v>5.6942881844020521</v>
      </c>
      <c r="F30" s="395">
        <v>3.7</v>
      </c>
      <c r="G30" s="173">
        <f t="shared" si="1"/>
        <v>4.3287433278341441</v>
      </c>
      <c r="H30" s="47">
        <f t="shared" si="2"/>
        <v>1.946689772396065</v>
      </c>
      <c r="I30" s="173">
        <f t="shared" si="3"/>
        <v>0.36987105675525234</v>
      </c>
      <c r="J30" s="173">
        <f>IF('Intensidad y Ángulo incli.'!$O$20=2,'Intensidad y Ángulo incli.'!E28*'Cálculo de consumo'!$F$34,'Intensidad y Ángulo incli.'!F28*'Cálculo de consumo'!$F$34)/1000</f>
        <v>92.746151092015765</v>
      </c>
      <c r="K30" s="173">
        <f t="shared" si="4"/>
        <v>146.54034141330879</v>
      </c>
      <c r="L30" s="670"/>
      <c r="M30" s="173">
        <f t="shared" si="5"/>
        <v>300.66373064088799</v>
      </c>
      <c r="N30" s="173">
        <f t="shared" si="6"/>
        <v>153.42618104424295</v>
      </c>
      <c r="O30" s="670"/>
      <c r="P30" s="173">
        <f t="shared" si="7"/>
        <v>138.51757003326148</v>
      </c>
      <c r="Q30" s="173">
        <f t="shared" si="8"/>
        <v>169.24576301050973</v>
      </c>
      <c r="R30" s="173">
        <f t="shared" si="9"/>
        <v>215.30674841937889</v>
      </c>
      <c r="S30" s="511"/>
      <c r="T30" s="390"/>
      <c r="U30" s="50">
        <f t="shared" si="10"/>
        <v>16.287575916173076</v>
      </c>
      <c r="V30" s="48">
        <f t="shared" si="11"/>
        <v>250.75265933389022</v>
      </c>
      <c r="W30" s="60" t="s">
        <v>331</v>
      </c>
      <c r="X30" s="61">
        <f t="shared" si="12"/>
        <v>4.8036820150393039E-2</v>
      </c>
      <c r="Y30" s="61">
        <f t="shared" si="13"/>
        <v>3.7259928406569512E-2</v>
      </c>
      <c r="Z30" s="62">
        <f>U31</f>
        <v>14.442514123313487</v>
      </c>
      <c r="AA30" s="62">
        <f>$U$27</f>
        <v>22.597542232335726</v>
      </c>
      <c r="AB30" s="62">
        <f>Z30-AA30</f>
        <v>-8.1550281090222398</v>
      </c>
      <c r="AC30" s="61">
        <f>Y30-X30</f>
        <v>-1.0776891743823527E-2</v>
      </c>
      <c r="AD30" s="63">
        <f t="shared" si="14"/>
        <v>756.71430156993688</v>
      </c>
      <c r="AE30" s="64">
        <f>-((X30)*AD30)+AA30</f>
        <v>-13.752606577409615</v>
      </c>
      <c r="AF30" s="64">
        <f t="shared" si="15"/>
        <v>756.71430156993688</v>
      </c>
      <c r="AG30" s="64">
        <f t="shared" si="16"/>
        <v>0</v>
      </c>
      <c r="AH30">
        <f t="shared" si="17"/>
        <v>756.71430156993688</v>
      </c>
      <c r="AK30" s="48"/>
      <c r="AR30" s="233"/>
      <c r="AS30" s="233"/>
      <c r="AT30" s="233"/>
      <c r="AU30" s="233"/>
      <c r="AV30" s="233"/>
      <c r="AW30" s="233"/>
      <c r="AX30" s="233"/>
    </row>
    <row r="31" spans="1:50" ht="15.75" thickBot="1">
      <c r="A31" s="272"/>
      <c r="B31" s="238"/>
      <c r="C31" s="391">
        <v>5</v>
      </c>
      <c r="D31" s="169" t="s">
        <v>20</v>
      </c>
      <c r="E31" s="173">
        <f t="shared" si="0"/>
        <v>6.4217455700668129</v>
      </c>
      <c r="F31" s="395">
        <v>3.2</v>
      </c>
      <c r="G31" s="173">
        <f t="shared" si="1"/>
        <v>3.7437780132619625</v>
      </c>
      <c r="H31" s="47">
        <f t="shared" si="2"/>
        <v>1.2593356851889179</v>
      </c>
      <c r="I31" s="173">
        <f t="shared" si="3"/>
        <v>0.2392737801858944</v>
      </c>
      <c r="J31" s="173">
        <f>IF('Intensidad y Ángulo incli.'!$O$20=2,'Intensidad y Ángulo incli.'!E29*'Cálculo de consumo'!$F$34,'Intensidad y Ángulo incli.'!F29*'Cálculo de consumo'!$F$34)/1000</f>
        <v>92.746151092015765</v>
      </c>
      <c r="K31" s="173">
        <f t="shared" si="4"/>
        <v>165.26118064848376</v>
      </c>
      <c r="L31" s="671"/>
      <c r="M31" s="173">
        <f t="shared" si="5"/>
        <v>194.50277625492305</v>
      </c>
      <c r="N31" s="173">
        <f t="shared" si="6"/>
        <v>158.88689546658699</v>
      </c>
      <c r="O31" s="671"/>
      <c r="P31" s="173">
        <f t="shared" si="7"/>
        <v>117.87203226725799</v>
      </c>
      <c r="Q31" s="173">
        <f t="shared" si="8"/>
        <v>163.48259652684237</v>
      </c>
      <c r="R31" s="173">
        <f t="shared" si="9"/>
        <v>176.86364034527782</v>
      </c>
      <c r="S31" s="511"/>
      <c r="T31" s="390"/>
      <c r="U31" s="50">
        <f t="shared" si="10"/>
        <v>14.442514123313487</v>
      </c>
      <c r="V31" s="48">
        <f t="shared" si="11"/>
        <v>387.61518717161687</v>
      </c>
      <c r="W31" s="60" t="s">
        <v>332</v>
      </c>
      <c r="X31" s="61">
        <f t="shared" si="12"/>
        <v>4.8036820150393039E-2</v>
      </c>
      <c r="Y31" s="61">
        <f t="shared" si="13"/>
        <v>4.2887423555891882E-2</v>
      </c>
      <c r="Z31" s="62">
        <f t="shared" ref="Z31:Z37" si="18">U32</f>
        <v>13.859383928304215</v>
      </c>
      <c r="AA31" s="62">
        <f t="shared" ref="AA31:AA37" si="19">$U$27</f>
        <v>22.597542232335726</v>
      </c>
      <c r="AB31" s="62">
        <f t="shared" ref="AB31:AB37" si="20">Z31-AA31</f>
        <v>-8.7381583040315114</v>
      </c>
      <c r="AC31" s="61">
        <f t="shared" ref="AC31:AC37" si="21">Y31-X31</f>
        <v>-5.1493965945011572E-3</v>
      </c>
      <c r="AD31" s="63">
        <f t="shared" si="14"/>
        <v>1696.92859030564</v>
      </c>
      <c r="AE31" s="64">
        <f t="shared" ref="AE31:AE36" si="22">-((X31)*AD31)+AA31</f>
        <v>-58.917511268236296</v>
      </c>
      <c r="AF31" s="64">
        <f t="shared" si="15"/>
        <v>0</v>
      </c>
      <c r="AG31" s="64">
        <f t="shared" si="16"/>
        <v>0</v>
      </c>
      <c r="AH31" t="str">
        <f t="shared" si="17"/>
        <v/>
      </c>
      <c r="AK31" s="48"/>
      <c r="AR31" s="233"/>
      <c r="AS31" s="233"/>
      <c r="AT31" s="233"/>
      <c r="AU31" s="233"/>
      <c r="AV31" s="233"/>
      <c r="AW31" s="233"/>
      <c r="AX31" s="233"/>
    </row>
    <row r="32" spans="1:50" ht="15.75" thickTop="1">
      <c r="A32" s="272"/>
      <c r="B32" s="238"/>
      <c r="C32" s="391">
        <v>6</v>
      </c>
      <c r="D32" s="169" t="s">
        <v>21</v>
      </c>
      <c r="E32" s="173">
        <f t="shared" si="0"/>
        <v>6.6919389470556254</v>
      </c>
      <c r="F32" s="395">
        <v>3.4</v>
      </c>
      <c r="G32" s="173">
        <f t="shared" si="1"/>
        <v>3.9777641390908349</v>
      </c>
      <c r="H32" s="47">
        <f t="shared" si="2"/>
        <v>1.5105264212239145</v>
      </c>
      <c r="I32" s="173">
        <f t="shared" si="3"/>
        <v>0.28700002003254377</v>
      </c>
      <c r="J32" s="173">
        <f>IF('Intensidad y Ángulo incli.'!$O$20=2,'Intensidad y Ángulo incli.'!E30*'Cálculo de consumo'!$F$34,'Intensidad y Ángulo incli.'!F30*'Cálculo de consumo'!$F$34)/1000</f>
        <v>92.746151092015765</v>
      </c>
      <c r="K32" s="173">
        <f t="shared" si="4"/>
        <v>172.21450447568537</v>
      </c>
      <c r="L32" s="670"/>
      <c r="M32" s="173">
        <f t="shared" si="5"/>
        <v>233.29886224131764</v>
      </c>
      <c r="N32" s="173">
        <f t="shared" si="6"/>
        <v>168.56607170619336</v>
      </c>
      <c r="O32" s="670"/>
      <c r="P32" s="173">
        <f t="shared" si="7"/>
        <v>130.95012263811395</v>
      </c>
      <c r="Q32" s="173">
        <f t="shared" si="8"/>
        <v>176.15968473081173</v>
      </c>
      <c r="R32" s="173">
        <f t="shared" si="9"/>
        <v>198.26957988944389</v>
      </c>
      <c r="S32" s="511"/>
      <c r="T32" s="390"/>
      <c r="U32" s="50">
        <f t="shared" si="10"/>
        <v>13.859383928304215</v>
      </c>
      <c r="V32" s="48">
        <f t="shared" si="11"/>
        <v>323.15729832178761</v>
      </c>
      <c r="W32" s="60" t="s">
        <v>333</v>
      </c>
      <c r="X32" s="61">
        <f t="shared" si="12"/>
        <v>4.8036820150393039E-2</v>
      </c>
      <c r="Y32" s="61">
        <f t="shared" si="13"/>
        <v>3.6702862243295012E-2</v>
      </c>
      <c r="Z32" s="62">
        <f t="shared" si="18"/>
        <v>12.972056567263753</v>
      </c>
      <c r="AA32" s="62">
        <f t="shared" si="19"/>
        <v>22.597542232335726</v>
      </c>
      <c r="AB32" s="62">
        <f t="shared" si="20"/>
        <v>-9.6254856650719738</v>
      </c>
      <c r="AC32" s="61">
        <f t="shared" si="21"/>
        <v>-1.1333957907098027E-2</v>
      </c>
      <c r="AD32" s="63">
        <f t="shared" si="14"/>
        <v>849.26075638977784</v>
      </c>
      <c r="AE32" s="64">
        <f t="shared" si="22"/>
        <v>-18.198243983146789</v>
      </c>
      <c r="AF32" s="64">
        <f t="shared" si="15"/>
        <v>0</v>
      </c>
      <c r="AG32" s="64">
        <f t="shared" si="16"/>
        <v>0</v>
      </c>
      <c r="AH32" t="str">
        <f t="shared" si="17"/>
        <v/>
      </c>
      <c r="AK32" s="48"/>
      <c r="AR32" s="233"/>
      <c r="AS32" s="233"/>
      <c r="AT32" s="233"/>
      <c r="AU32" s="233"/>
      <c r="AV32" s="233"/>
      <c r="AW32" s="233"/>
      <c r="AX32" s="233"/>
    </row>
    <row r="33" spans="1:50" ht="15.75" thickBot="1">
      <c r="A33" s="272"/>
      <c r="B33" s="238"/>
      <c r="C33" s="391">
        <v>7</v>
      </c>
      <c r="D33" s="169" t="s">
        <v>22</v>
      </c>
      <c r="E33" s="173">
        <f t="shared" si="0"/>
        <v>7.1496875311251502</v>
      </c>
      <c r="F33" s="395">
        <v>3.3</v>
      </c>
      <c r="G33" s="173">
        <f t="shared" si="1"/>
        <v>3.8607710761763983</v>
      </c>
      <c r="H33" s="47">
        <f t="shared" si="2"/>
        <v>1.381126297565739</v>
      </c>
      <c r="I33" s="173">
        <f t="shared" si="3"/>
        <v>0.26241399653749042</v>
      </c>
      <c r="J33" s="173">
        <f>IF('Intensidad y Ángulo incli.'!$O$20=2,'Intensidad y Ángulo incli.'!E31*'Cálculo de consumo'!$F$34,'Intensidad y Ángulo incli.'!F31*'Cálculo de consumo'!$F$34)/1000</f>
        <v>92.746151092015765</v>
      </c>
      <c r="K33" s="173">
        <f t="shared" si="4"/>
        <v>183.9944902471731</v>
      </c>
      <c r="L33" s="671"/>
      <c r="M33" s="173">
        <f t="shared" si="5"/>
        <v>213.31317963480132</v>
      </c>
      <c r="N33" s="173">
        <f t="shared" si="6"/>
        <v>176.58098853678123</v>
      </c>
      <c r="O33" s="671"/>
      <c r="P33" s="173">
        <f t="shared" si="7"/>
        <v>130.37486885163116</v>
      </c>
      <c r="Q33" s="173">
        <f t="shared" si="8"/>
        <v>181.40102614490527</v>
      </c>
      <c r="R33" s="173">
        <f t="shared" si="9"/>
        <v>195.43525804884703</v>
      </c>
      <c r="S33" s="511"/>
      <c r="T33" s="390"/>
      <c r="U33" s="50">
        <f t="shared" si="10"/>
        <v>12.972056567263753</v>
      </c>
      <c r="V33" s="48">
        <f t="shared" si="11"/>
        <v>353.43446735229827</v>
      </c>
      <c r="W33" s="60" t="s">
        <v>334</v>
      </c>
      <c r="X33" s="61">
        <f t="shared" si="12"/>
        <v>4.8036820150393039E-2</v>
      </c>
      <c r="Y33" s="61">
        <f t="shared" si="13"/>
        <v>2.9583995808116749E-2</v>
      </c>
      <c r="Z33" s="62">
        <f t="shared" si="18"/>
        <v>13.916941058591101</v>
      </c>
      <c r="AA33" s="62">
        <f t="shared" si="19"/>
        <v>22.597542232335726</v>
      </c>
      <c r="AB33" s="62">
        <f t="shared" si="20"/>
        <v>-8.6806011737446251</v>
      </c>
      <c r="AC33" s="61">
        <f t="shared" si="21"/>
        <v>-1.845282434227629E-2</v>
      </c>
      <c r="AD33" s="63">
        <f t="shared" si="14"/>
        <v>470.42127604590905</v>
      </c>
      <c r="AE33" s="64">
        <f t="shared" si="22"/>
        <v>0</v>
      </c>
      <c r="AF33" s="64">
        <f t="shared" si="15"/>
        <v>470.42127604590905</v>
      </c>
      <c r="AG33" s="64">
        <f t="shared" si="16"/>
        <v>0</v>
      </c>
      <c r="AH33">
        <f t="shared" si="17"/>
        <v>470.42127604590905</v>
      </c>
      <c r="AK33" s="48"/>
      <c r="AR33" s="233"/>
      <c r="AS33" s="233"/>
      <c r="AT33" s="233"/>
      <c r="AU33" s="233"/>
      <c r="AV33" s="233"/>
      <c r="AW33" s="233"/>
      <c r="AX33" s="233"/>
    </row>
    <row r="34" spans="1:50" ht="15.75" thickTop="1">
      <c r="A34" s="272"/>
      <c r="B34" s="238"/>
      <c r="C34" s="391">
        <v>8</v>
      </c>
      <c r="D34" s="169" t="s">
        <v>23</v>
      </c>
      <c r="E34" s="173">
        <f t="shared" si="0"/>
        <v>6.6642626926096238</v>
      </c>
      <c r="F34" s="395">
        <v>3</v>
      </c>
      <c r="G34" s="173">
        <f t="shared" si="1"/>
        <v>3.5097918874330896</v>
      </c>
      <c r="H34" s="47">
        <f t="shared" si="2"/>
        <v>1.0376606292755366</v>
      </c>
      <c r="I34" s="173">
        <f t="shared" si="3"/>
        <v>0.19715551956235194</v>
      </c>
      <c r="J34" s="173">
        <f>IF('Intensidad y Ángulo incli.'!$O$20=2,'Intensidad y Ángulo incli.'!E32*'Cálculo de consumo'!$F$34,'Intensidad y Ángulo incli.'!F32*'Cálculo de consumo'!$F$34)/1000</f>
        <v>92.746151092015765</v>
      </c>
      <c r="K34" s="173">
        <f t="shared" si="4"/>
        <v>171.5022665902429</v>
      </c>
      <c r="L34" s="670"/>
      <c r="M34" s="173">
        <f t="shared" si="5"/>
        <v>160.26534908700324</v>
      </c>
      <c r="N34" s="173">
        <f t="shared" si="6"/>
        <v>160.82024840025028</v>
      </c>
      <c r="O34" s="670"/>
      <c r="P34" s="173">
        <f t="shared" si="7"/>
        <v>111.2953813104189</v>
      </c>
      <c r="Q34" s="173">
        <f t="shared" si="8"/>
        <v>161.77990771023303</v>
      </c>
      <c r="R34" s="173">
        <f t="shared" si="9"/>
        <v>164.57409364819642</v>
      </c>
      <c r="S34" s="511"/>
      <c r="T34" s="390"/>
      <c r="U34" s="50">
        <f t="shared" si="10"/>
        <v>13.916941058591101</v>
      </c>
      <c r="V34" s="48">
        <f t="shared" si="11"/>
        <v>470.42127604590894</v>
      </c>
      <c r="W34" s="60" t="s">
        <v>335</v>
      </c>
      <c r="X34" s="61">
        <f t="shared" si="12"/>
        <v>4.8036820150393039E-2</v>
      </c>
      <c r="Y34" s="61">
        <f t="shared" si="13"/>
        <v>3.4869137342136078E-2</v>
      </c>
      <c r="Z34" s="62">
        <f t="shared" si="18"/>
        <v>14.866435173170021</v>
      </c>
      <c r="AA34" s="62">
        <f t="shared" si="19"/>
        <v>22.597542232335726</v>
      </c>
      <c r="AB34" s="62">
        <f t="shared" si="20"/>
        <v>-7.731107059165705</v>
      </c>
      <c r="AC34" s="61">
        <f t="shared" si="21"/>
        <v>-1.3167682808256961E-2</v>
      </c>
      <c r="AD34" s="63">
        <f t="shared" si="14"/>
        <v>587.12737630024139</v>
      </c>
      <c r="AE34" s="64">
        <f t="shared" si="22"/>
        <v>-5.6061899483711066</v>
      </c>
      <c r="AF34" s="64">
        <f t="shared" si="15"/>
        <v>587.12737630024139</v>
      </c>
      <c r="AG34" s="64">
        <f t="shared" si="16"/>
        <v>0</v>
      </c>
      <c r="AH34">
        <f t="shared" si="17"/>
        <v>587.12737630024139</v>
      </c>
      <c r="AK34" s="48"/>
      <c r="AR34" s="233"/>
      <c r="AS34" s="233"/>
      <c r="AT34" s="233"/>
      <c r="AU34" s="233"/>
      <c r="AV34" s="233"/>
      <c r="AW34" s="233"/>
      <c r="AX34" s="233"/>
    </row>
    <row r="35" spans="1:50" ht="15.75" thickBot="1">
      <c r="A35" s="272"/>
      <c r="B35" s="238"/>
      <c r="C35" s="391">
        <v>9</v>
      </c>
      <c r="D35" s="169" t="s">
        <v>24</v>
      </c>
      <c r="E35" s="173">
        <f t="shared" si="0"/>
        <v>6.2386274861237752</v>
      </c>
      <c r="F35" s="395">
        <v>3.1</v>
      </c>
      <c r="G35" s="173">
        <f t="shared" si="1"/>
        <v>3.6267849503475258</v>
      </c>
      <c r="H35" s="47">
        <f t="shared" si="2"/>
        <v>1.1449239928425001</v>
      </c>
      <c r="I35" s="173">
        <f t="shared" si="3"/>
        <v>0.21753555864007504</v>
      </c>
      <c r="J35" s="173">
        <f>IF('Intensidad y Ángulo incli.'!$O$20=2,'Intensidad y Ángulo incli.'!E33*'Cálculo de consumo'!$F$34,'Intensidad y Ángulo incli.'!F33*'Cálculo de consumo'!$F$34)/1000</f>
        <v>92.746151092015765</v>
      </c>
      <c r="K35" s="173">
        <f t="shared" si="4"/>
        <v>160.54870638111728</v>
      </c>
      <c r="L35" s="671"/>
      <c r="M35" s="173">
        <f t="shared" si="5"/>
        <v>176.83203757966345</v>
      </c>
      <c r="N35" s="173">
        <f t="shared" si="6"/>
        <v>153.17035583837495</v>
      </c>
      <c r="O35" s="671"/>
      <c r="P35" s="173">
        <f t="shared" si="7"/>
        <v>111.29538131041889</v>
      </c>
      <c r="Q35" s="173">
        <f t="shared" si="8"/>
        <v>156.524232743346</v>
      </c>
      <c r="R35" s="173">
        <f t="shared" si="9"/>
        <v>166.28952714318729</v>
      </c>
      <c r="S35" s="511"/>
      <c r="T35" s="390"/>
      <c r="U35" s="50">
        <f t="shared" si="10"/>
        <v>14.866435173170021</v>
      </c>
      <c r="V35" s="48">
        <f t="shared" si="11"/>
        <v>426.34938247254348</v>
      </c>
      <c r="W35" s="60" t="s">
        <v>336</v>
      </c>
      <c r="X35" s="61">
        <f t="shared" si="12"/>
        <v>4.8036820150393039E-2</v>
      </c>
      <c r="Y35" s="61">
        <f t="shared" si="13"/>
        <v>2.7650385085211126E-2</v>
      </c>
      <c r="Z35" s="62">
        <f t="shared" si="18"/>
        <v>19.98167357439328</v>
      </c>
      <c r="AA35" s="62">
        <f t="shared" si="19"/>
        <v>22.597542232335726</v>
      </c>
      <c r="AB35" s="62">
        <f t="shared" si="20"/>
        <v>-2.6158686579424462</v>
      </c>
      <c r="AC35" s="61">
        <f t="shared" si="21"/>
        <v>-2.0386435065181913E-2</v>
      </c>
      <c r="AD35" s="63">
        <f t="shared" si="14"/>
        <v>128.31417800996999</v>
      </c>
      <c r="AE35" s="64">
        <f t="shared" si="22"/>
        <v>16.433737140525281</v>
      </c>
      <c r="AF35" s="64">
        <f t="shared" si="15"/>
        <v>128.31417800996999</v>
      </c>
      <c r="AG35" s="64">
        <f t="shared" si="16"/>
        <v>16.433737140525281</v>
      </c>
      <c r="AH35">
        <f t="shared" si="17"/>
        <v>128.31417800996999</v>
      </c>
      <c r="AK35" s="48"/>
      <c r="AR35" s="233"/>
      <c r="AS35" s="233"/>
      <c r="AT35" s="233"/>
      <c r="AU35" s="233"/>
      <c r="AV35" s="233"/>
      <c r="AW35" s="233"/>
      <c r="AX35" s="233"/>
    </row>
    <row r="36" spans="1:50" ht="15.75" thickTop="1">
      <c r="A36" s="272"/>
      <c r="B36" s="238"/>
      <c r="C36" s="391">
        <v>10</v>
      </c>
      <c r="D36" s="169" t="s">
        <v>25</v>
      </c>
      <c r="E36" s="173">
        <f t="shared" si="0"/>
        <v>4.6415607154583345</v>
      </c>
      <c r="F36" s="395">
        <v>2.6</v>
      </c>
      <c r="G36" s="173">
        <f t="shared" si="1"/>
        <v>3.0418196357753442</v>
      </c>
      <c r="H36" s="47">
        <f t="shared" si="2"/>
        <v>0.67547863778321582</v>
      </c>
      <c r="I36" s="173">
        <f t="shared" si="3"/>
        <v>0.12834094117881101</v>
      </c>
      <c r="J36" s="173">
        <f>IF('Intensidad y Ángulo incli.'!$O$20=2,'Intensidad y Ángulo incli.'!E34*'Cálculo de consumo'!$F$34,'Intensidad y Ángulo incli.'!F34*'Cálculo de consumo'!$F$34)/1000</f>
        <v>92.746151092015765</v>
      </c>
      <c r="K36" s="173">
        <f t="shared" si="4"/>
        <v>119.44880025514381</v>
      </c>
      <c r="L36" s="670"/>
      <c r="M36" s="173">
        <f t="shared" si="5"/>
        <v>104.3268065019692</v>
      </c>
      <c r="N36" s="173">
        <f t="shared" si="6"/>
        <v>111.29538131041893</v>
      </c>
      <c r="O36" s="670"/>
      <c r="P36" s="173">
        <f t="shared" si="7"/>
        <v>75.580730332526358</v>
      </c>
      <c r="Q36" s="173">
        <f t="shared" si="8"/>
        <v>111.29538131041892</v>
      </c>
      <c r="R36" s="173">
        <f t="shared" si="9"/>
        <v>111.29538131041892</v>
      </c>
      <c r="S36" s="511"/>
      <c r="T36" s="390"/>
      <c r="U36" s="50">
        <f t="shared" si="10"/>
        <v>19.98167357439328</v>
      </c>
      <c r="V36" s="48">
        <f t="shared" si="11"/>
        <v>722.65444089892719</v>
      </c>
      <c r="W36" s="60" t="s">
        <v>337</v>
      </c>
      <c r="X36" s="61">
        <f t="shared" si="12"/>
        <v>4.8036820150393039E-2</v>
      </c>
      <c r="Y36" s="61">
        <f t="shared" si="13"/>
        <v>4.2425755703683045E-2</v>
      </c>
      <c r="Z36" s="62">
        <f t="shared" si="18"/>
        <v>24.547440308588811</v>
      </c>
      <c r="AA36" s="62">
        <f t="shared" si="19"/>
        <v>22.597542232335726</v>
      </c>
      <c r="AB36" s="62">
        <f t="shared" si="20"/>
        <v>1.9498980762530849</v>
      </c>
      <c r="AC36" s="61">
        <f t="shared" si="21"/>
        <v>-5.6110644467099943E-3</v>
      </c>
      <c r="AD36" s="63">
        <f t="shared" si="14"/>
        <v>-347.5094778846094</v>
      </c>
      <c r="AE36" s="64">
        <f t="shared" si="22"/>
        <v>39.290792522035694</v>
      </c>
      <c r="AF36" s="64">
        <f t="shared" si="15"/>
        <v>0</v>
      </c>
      <c r="AG36" s="64">
        <f t="shared" si="16"/>
        <v>0</v>
      </c>
      <c r="AH36" t="str">
        <f t="shared" si="17"/>
        <v/>
      </c>
      <c r="AK36" s="48"/>
      <c r="AR36" s="233"/>
      <c r="AS36" s="233"/>
      <c r="AT36" s="233"/>
      <c r="AU36" s="233"/>
      <c r="AV36" s="233"/>
      <c r="AW36" s="233"/>
      <c r="AX36" s="233"/>
    </row>
    <row r="37" spans="1:50" ht="15.75" thickBot="1">
      <c r="A37" s="272"/>
      <c r="B37" s="238"/>
      <c r="C37" s="391">
        <v>11</v>
      </c>
      <c r="D37" s="169" t="s">
        <v>26</v>
      </c>
      <c r="E37" s="173">
        <f t="shared" si="0"/>
        <v>3.778241231105679</v>
      </c>
      <c r="F37" s="395">
        <v>2.8</v>
      </c>
      <c r="G37" s="173">
        <f t="shared" si="1"/>
        <v>3.2758057616042167</v>
      </c>
      <c r="H37" s="47">
        <f t="shared" si="2"/>
        <v>0.84365652347616948</v>
      </c>
      <c r="I37" s="173">
        <f t="shared" si="3"/>
        <v>0.16029473946047221</v>
      </c>
      <c r="J37" s="173">
        <f>IF('Intensidad y Ángulo incli.'!$O$20=2,'Intensidad y Ángulo incli.'!E35*'Cálculo de consumo'!$F$34,'Intensidad y Ángulo incli.'!F35*'Cálculo de consumo'!$F$34)/1000</f>
        <v>92.746151092015765</v>
      </c>
      <c r="K37" s="173">
        <f t="shared" si="4"/>
        <v>97.23160156605347</v>
      </c>
      <c r="L37" s="671"/>
      <c r="M37" s="173">
        <f t="shared" si="5"/>
        <v>130.30166456140353</v>
      </c>
      <c r="N37" s="173">
        <f t="shared" si="6"/>
        <v>95.033032286791411</v>
      </c>
      <c r="O37" s="671"/>
      <c r="P37" s="173">
        <f t="shared" si="7"/>
        <v>73.557859260962402</v>
      </c>
      <c r="Q37" s="173">
        <f t="shared" si="8"/>
        <v>99.190453174413776</v>
      </c>
      <c r="R37" s="173">
        <f t="shared" si="9"/>
        <v>111.2953813104189</v>
      </c>
      <c r="S37" s="511"/>
      <c r="T37" s="390"/>
      <c r="U37" s="50">
        <f t="shared" si="10"/>
        <v>24.547440308588811</v>
      </c>
      <c r="V37" s="48">
        <f t="shared" si="11"/>
        <v>578.59759717745726</v>
      </c>
      <c r="W37" s="60" t="s">
        <v>338</v>
      </c>
      <c r="X37" s="61">
        <f t="shared" si="12"/>
        <v>4.8036820150393039E-2</v>
      </c>
      <c r="Y37" s="61">
        <f t="shared" si="13"/>
        <v>3.1658261531841765E-2</v>
      </c>
      <c r="Z37" s="62">
        <f t="shared" si="18"/>
        <v>25.734619792288711</v>
      </c>
      <c r="AA37" s="62">
        <f t="shared" si="19"/>
        <v>22.597542232335726</v>
      </c>
      <c r="AB37" s="62">
        <f t="shared" si="20"/>
        <v>3.137077559952985</v>
      </c>
      <c r="AC37" s="61">
        <f t="shared" si="21"/>
        <v>-1.6378558618551274E-2</v>
      </c>
      <c r="AD37" s="63">
        <f t="shared" si="14"/>
        <v>-191.53563100477933</v>
      </c>
      <c r="AE37" s="64">
        <f>-((X37)*AD37)+AA37</f>
        <v>31.798304891304355</v>
      </c>
      <c r="AF37" s="64">
        <f t="shared" si="15"/>
        <v>0</v>
      </c>
      <c r="AG37" s="64">
        <f t="shared" si="16"/>
        <v>0</v>
      </c>
      <c r="AH37" t="str">
        <f>IF(AF37&gt;0,AF37,"")</f>
        <v/>
      </c>
      <c r="AK37" s="48"/>
      <c r="AR37" s="233"/>
      <c r="AS37" s="233"/>
      <c r="AT37" s="233"/>
      <c r="AU37" s="233"/>
      <c r="AV37" s="233"/>
      <c r="AW37" s="233"/>
      <c r="AX37" s="233"/>
    </row>
    <row r="38" spans="1:50" ht="17.25" thickTop="1">
      <c r="A38" s="272"/>
      <c r="B38" s="238"/>
      <c r="C38" s="391">
        <v>12</v>
      </c>
      <c r="D38" s="169" t="s">
        <v>27</v>
      </c>
      <c r="E38" s="173">
        <f t="shared" si="0"/>
        <v>3.6039448742820293</v>
      </c>
      <c r="F38" s="395">
        <v>2.5</v>
      </c>
      <c r="G38" s="173">
        <f t="shared" si="1"/>
        <v>2.924826572860908</v>
      </c>
      <c r="H38" s="47">
        <f t="shared" si="2"/>
        <v>0.60049804934926887</v>
      </c>
      <c r="I38" s="173">
        <f t="shared" si="3"/>
        <v>0.11409462937636108</v>
      </c>
      <c r="J38" s="173">
        <f>IF('Intensidad y Ángulo incli.'!$O$20=2,'Intensidad y Ángulo incli.'!E36*'Cálculo de consumo'!$F$34,'Intensidad y Ángulo incli.'!F36*'Cálculo de consumo'!$F$34)/1000</f>
        <v>92.746151092015765</v>
      </c>
      <c r="K38" s="173">
        <f t="shared" si="4"/>
        <v>92.746151092015765</v>
      </c>
      <c r="L38" s="112"/>
      <c r="M38" s="173">
        <f t="shared" si="5"/>
        <v>92.746151092015765</v>
      </c>
      <c r="N38" s="173">
        <f t="shared" si="6"/>
        <v>87.563796458613496</v>
      </c>
      <c r="O38" s="112"/>
      <c r="P38" s="173">
        <f t="shared" si="7"/>
        <v>61.798674135208032</v>
      </c>
      <c r="Q38" s="173">
        <f t="shared" si="8"/>
        <v>88.639489580009098</v>
      </c>
      <c r="R38" s="173">
        <f t="shared" si="9"/>
        <v>91.77152462838626</v>
      </c>
      <c r="S38" s="511"/>
      <c r="T38" s="390"/>
      <c r="U38" s="50">
        <f t="shared" si="10"/>
        <v>25.734619792288711</v>
      </c>
      <c r="V38" s="48">
        <f t="shared" si="11"/>
        <v>812.88796500733065</v>
      </c>
      <c r="W38" s="67" t="s">
        <v>341</v>
      </c>
      <c r="X38" s="68">
        <f>IF($U$28=0,0,$U$28/$V$28)</f>
        <v>3.9930841670923228E-2</v>
      </c>
      <c r="Y38" s="68">
        <f>IF(V29=0,0,U29/V29)</f>
        <v>3.0535098559320382E-2</v>
      </c>
      <c r="Z38" s="69">
        <f>U29</f>
        <v>15.90215756154428</v>
      </c>
      <c r="AA38" s="69">
        <f>$U$28</f>
        <v>20.795300024413351</v>
      </c>
      <c r="AB38" s="69">
        <f>Z38-AA38</f>
        <v>-4.8931424628690703</v>
      </c>
      <c r="AC38" s="68">
        <f>Y38-X38</f>
        <v>-9.3957431116028466E-3</v>
      </c>
      <c r="AD38" s="70">
        <f>IF(AC38=0,0,AB38/AC38)</f>
        <v>520.78291251135909</v>
      </c>
      <c r="AE38" s="37">
        <f>-((X38)*AD38)+AA38</f>
        <v>0</v>
      </c>
      <c r="AF38" s="37">
        <f t="shared" si="15"/>
        <v>520.78291251135909</v>
      </c>
      <c r="AG38" s="37">
        <f t="shared" si="16"/>
        <v>0</v>
      </c>
      <c r="AH38">
        <f t="shared" ref="AH38:AH57" si="23">IF(AF38&gt;0,AF38,"")</f>
        <v>520.78291251135909</v>
      </c>
      <c r="AI38" s="65">
        <f>MIN(AH38:AH47)</f>
        <v>66.253762174176586</v>
      </c>
      <c r="AJ38" s="66">
        <f>MAX(AG38:AG47)</f>
        <v>18.149731536933302</v>
      </c>
      <c r="AK38" s="58">
        <f>IF(OR(AI38=0,AJ38=0),"",VLOOKUP(AI38,AF38:AG47,2,FALSE))</f>
        <v>18.149731536933302</v>
      </c>
      <c r="AL38" s="57" t="str">
        <f>IF(AJ38=AK38,"ok","fallo")</f>
        <v>ok</v>
      </c>
      <c r="AM38" s="108">
        <f>IF($AL$38="ok",IF(AI38&lt;0.5,0.5,AI38),"")</f>
        <v>66.253762174176586</v>
      </c>
      <c r="AN38" s="48">
        <f>IF($AL$38="ok",AJ38,"")</f>
        <v>18.149731536933302</v>
      </c>
      <c r="AO38" s="108">
        <f>IF(AM38="","",(AM38*$F$10)+(AN38*$F$9))</f>
        <v>108175.29678587049</v>
      </c>
      <c r="AP38" s="108">
        <f>AM38</f>
        <v>66.253762174176586</v>
      </c>
      <c r="AQ38" s="48">
        <f>AN38</f>
        <v>18.149731536933302</v>
      </c>
      <c r="AR38" s="233"/>
      <c r="AS38" s="233"/>
      <c r="AT38" s="233"/>
      <c r="AU38" s="233"/>
      <c r="AV38" s="233"/>
      <c r="AW38" s="233"/>
      <c r="AX38" s="233"/>
    </row>
    <row r="39" spans="1:50">
      <c r="A39" s="272"/>
      <c r="B39" s="238"/>
      <c r="C39" s="238"/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403"/>
      <c r="O39" s="403"/>
      <c r="P39" s="238"/>
      <c r="Q39" s="238"/>
      <c r="R39" s="238"/>
      <c r="S39" s="272"/>
      <c r="T39" s="3"/>
      <c r="V39" s="48"/>
      <c r="W39" s="67" t="s">
        <v>345</v>
      </c>
      <c r="X39" s="68">
        <f t="shared" ref="X39:X47" si="24">IF($U$28=0,0,$U$28/$V$28)</f>
        <v>3.9930841670923228E-2</v>
      </c>
      <c r="Y39" s="68">
        <f t="shared" ref="Y39:Y47" si="25">IF(V30=0,0,U30/V30)</f>
        <v>6.4954748473815063E-2</v>
      </c>
      <c r="Z39" s="69">
        <f>U30</f>
        <v>16.287575916173076</v>
      </c>
      <c r="AA39" s="69">
        <f>$U$28</f>
        <v>20.795300024413351</v>
      </c>
      <c r="AB39" s="69">
        <f>Z39-AA39</f>
        <v>-4.507724108240275</v>
      </c>
      <c r="AC39" s="68">
        <f>Y39-X39</f>
        <v>2.5023906802891835E-2</v>
      </c>
      <c r="AD39" s="70">
        <f t="shared" ref="AD39:AD47" si="26">IF(AC39=0,0,AB39/AC39)</f>
        <v>-180.13670462197172</v>
      </c>
      <c r="AE39" s="37">
        <f>-((X39)*AD39)+AA39</f>
        <v>27.988310255795167</v>
      </c>
      <c r="AF39" s="37">
        <f t="shared" si="15"/>
        <v>0</v>
      </c>
      <c r="AG39" s="37">
        <f t="shared" si="16"/>
        <v>0</v>
      </c>
      <c r="AH39" t="str">
        <f t="shared" si="23"/>
        <v/>
      </c>
      <c r="AR39" s="233"/>
      <c r="AS39" s="233"/>
      <c r="AT39" s="233"/>
      <c r="AU39" s="233"/>
      <c r="AV39" s="233"/>
      <c r="AW39" s="233"/>
      <c r="AX39" s="233"/>
    </row>
    <row r="40" spans="1:50">
      <c r="A40" s="272"/>
      <c r="B40" s="233"/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403"/>
      <c r="Q40" s="403"/>
      <c r="R40" s="238"/>
      <c r="S40" s="272"/>
      <c r="W40" s="67" t="s">
        <v>346</v>
      </c>
      <c r="X40" s="68">
        <f t="shared" si="24"/>
        <v>3.9930841670923228E-2</v>
      </c>
      <c r="Y40" s="68">
        <f t="shared" si="25"/>
        <v>3.7259928406569512E-2</v>
      </c>
      <c r="Z40" s="69">
        <f t="shared" ref="Z40:Z47" si="27">U31</f>
        <v>14.442514123313487</v>
      </c>
      <c r="AA40" s="69">
        <f t="shared" ref="AA40:AA47" si="28">$U$28</f>
        <v>20.795300024413351</v>
      </c>
      <c r="AB40" s="69">
        <f t="shared" ref="AB40:AB48" si="29">Z40-AA40</f>
        <v>-6.352785901099864</v>
      </c>
      <c r="AC40" s="68">
        <f t="shared" ref="AC40:AC48" si="30">Y40-X40</f>
        <v>-2.6709132643537165E-3</v>
      </c>
      <c r="AD40" s="70">
        <f t="shared" si="26"/>
        <v>2378.5070020373928</v>
      </c>
      <c r="AE40" s="37">
        <f t="shared" ref="AE40:AE48" si="31">-((X40)*AD40)+AA40</f>
        <v>-74.180486487124057</v>
      </c>
      <c r="AF40" s="37">
        <f t="shared" ref="AF40:AF48" si="32">IF(OR(AD40&gt;$K$12,AD40&lt;0),0,AD40)</f>
        <v>0</v>
      </c>
      <c r="AG40" s="37">
        <f t="shared" ref="AG40:AG48" si="33">IF(OR(AE40&gt;$K$11,AE40&lt;0),0,AE40)</f>
        <v>0</v>
      </c>
      <c r="AH40" t="str">
        <f t="shared" si="23"/>
        <v/>
      </c>
      <c r="AR40" s="233"/>
      <c r="AS40" s="233"/>
      <c r="AT40" s="233"/>
      <c r="AU40" s="233"/>
      <c r="AV40" s="233"/>
      <c r="AW40" s="233"/>
      <c r="AX40" s="233"/>
    </row>
    <row r="41" spans="1:50" ht="17.25" thickBot="1">
      <c r="A41" s="272"/>
      <c r="B41" s="285"/>
      <c r="C41" s="288"/>
      <c r="D41" s="507"/>
      <c r="E41" s="288"/>
      <c r="F41" s="288"/>
      <c r="G41" s="288"/>
      <c r="H41" s="288"/>
      <c r="I41" s="288"/>
      <c r="J41" s="288"/>
      <c r="K41" s="288"/>
      <c r="L41" s="288"/>
      <c r="M41" s="288"/>
      <c r="N41" s="508"/>
      <c r="O41" s="508"/>
      <c r="P41" s="288"/>
      <c r="Q41" s="288"/>
      <c r="R41" s="288"/>
      <c r="S41" s="289"/>
      <c r="W41" s="67" t="s">
        <v>347</v>
      </c>
      <c r="X41" s="68">
        <f t="shared" si="24"/>
        <v>3.9930841670923228E-2</v>
      </c>
      <c r="Y41" s="68">
        <f t="shared" si="25"/>
        <v>4.2887423555891882E-2</v>
      </c>
      <c r="Z41" s="69">
        <f t="shared" si="27"/>
        <v>13.859383928304215</v>
      </c>
      <c r="AA41" s="69">
        <f t="shared" si="28"/>
        <v>20.795300024413351</v>
      </c>
      <c r="AB41" s="69">
        <f t="shared" si="29"/>
        <v>-6.9359160961091355</v>
      </c>
      <c r="AC41" s="68">
        <f t="shared" si="30"/>
        <v>2.9565818849686537E-3</v>
      </c>
      <c r="AD41" s="70">
        <f t="shared" si="26"/>
        <v>-2345.9238965683753</v>
      </c>
      <c r="AE41" s="37">
        <f t="shared" si="31"/>
        <v>114.47001571032042</v>
      </c>
      <c r="AF41" s="37">
        <f t="shared" si="32"/>
        <v>0</v>
      </c>
      <c r="AG41" s="37">
        <f t="shared" si="33"/>
        <v>0</v>
      </c>
      <c r="AH41" t="str">
        <f t="shared" si="23"/>
        <v/>
      </c>
      <c r="AR41" s="233"/>
      <c r="AS41" s="233"/>
      <c r="AT41" s="233"/>
      <c r="AU41" s="233"/>
      <c r="AV41" s="233"/>
      <c r="AW41" s="233"/>
      <c r="AX41" s="233"/>
    </row>
    <row r="42" spans="1:50">
      <c r="A42" s="233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66"/>
      <c r="Q42" s="266"/>
      <c r="R42" s="233"/>
      <c r="S42" s="233"/>
      <c r="W42" s="67" t="s">
        <v>348</v>
      </c>
      <c r="X42" s="68">
        <f t="shared" si="24"/>
        <v>3.9930841670923228E-2</v>
      </c>
      <c r="Y42" s="68">
        <f t="shared" si="25"/>
        <v>3.6702862243295012E-2</v>
      </c>
      <c r="Z42" s="69">
        <f t="shared" si="27"/>
        <v>12.972056567263753</v>
      </c>
      <c r="AA42" s="69">
        <f t="shared" si="28"/>
        <v>20.795300024413351</v>
      </c>
      <c r="AB42" s="69">
        <f t="shared" si="29"/>
        <v>-7.8232434571495979</v>
      </c>
      <c r="AC42" s="68">
        <f t="shared" si="30"/>
        <v>-3.2279794276282164E-3</v>
      </c>
      <c r="AD42" s="70">
        <f t="shared" si="26"/>
        <v>2423.5728983247541</v>
      </c>
      <c r="AE42" s="37">
        <f t="shared" si="31"/>
        <v>-75.980005656532924</v>
      </c>
      <c r="AF42" s="37">
        <f t="shared" si="32"/>
        <v>0</v>
      </c>
      <c r="AG42" s="37">
        <f t="shared" si="33"/>
        <v>0</v>
      </c>
      <c r="AH42" t="str">
        <f t="shared" si="23"/>
        <v/>
      </c>
      <c r="AR42" s="233"/>
      <c r="AS42" s="233"/>
      <c r="AT42" s="233"/>
      <c r="AU42" s="233"/>
      <c r="AV42" s="233"/>
      <c r="AW42" s="233"/>
      <c r="AX42" s="233"/>
    </row>
    <row r="43" spans="1:50">
      <c r="A43" s="233"/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  <c r="M43" s="233"/>
      <c r="N43" s="266"/>
      <c r="O43" s="266"/>
      <c r="P43" s="233"/>
      <c r="Q43" s="233"/>
      <c r="R43" s="233"/>
      <c r="S43" s="233"/>
      <c r="W43" s="67" t="s">
        <v>349</v>
      </c>
      <c r="X43" s="68">
        <f t="shared" si="24"/>
        <v>3.9930841670923228E-2</v>
      </c>
      <c r="Y43" s="68">
        <f t="shared" si="25"/>
        <v>2.9583995808116749E-2</v>
      </c>
      <c r="Z43" s="69">
        <f t="shared" si="27"/>
        <v>13.916941058591101</v>
      </c>
      <c r="AA43" s="69">
        <f t="shared" si="28"/>
        <v>20.795300024413351</v>
      </c>
      <c r="AB43" s="69">
        <f t="shared" si="29"/>
        <v>-6.8783589658222493</v>
      </c>
      <c r="AC43" s="68">
        <f t="shared" si="30"/>
        <v>-1.0346845862806479E-2</v>
      </c>
      <c r="AD43" s="70">
        <f t="shared" si="26"/>
        <v>664.77833506225272</v>
      </c>
      <c r="AE43" s="37">
        <f t="shared" si="31"/>
        <v>-5.7498584192174143</v>
      </c>
      <c r="AF43" s="37">
        <f t="shared" si="32"/>
        <v>664.77833506225272</v>
      </c>
      <c r="AG43" s="37">
        <f t="shared" si="33"/>
        <v>0</v>
      </c>
      <c r="AH43">
        <f t="shared" si="23"/>
        <v>664.77833506225272</v>
      </c>
      <c r="AR43" s="233"/>
      <c r="AS43" s="233"/>
      <c r="AT43" s="233"/>
      <c r="AU43" s="233"/>
      <c r="AV43" s="233"/>
      <c r="AW43" s="233"/>
      <c r="AX43" s="233"/>
    </row>
    <row r="44" spans="1:50">
      <c r="A44" s="233"/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66"/>
      <c r="Q44" s="266"/>
      <c r="R44" s="233"/>
      <c r="S44" s="233"/>
      <c r="W44" s="67" t="s">
        <v>350</v>
      </c>
      <c r="X44" s="68">
        <f t="shared" si="24"/>
        <v>3.9930841670923228E-2</v>
      </c>
      <c r="Y44" s="68">
        <f t="shared" si="25"/>
        <v>3.4869137342136078E-2</v>
      </c>
      <c r="Z44" s="69">
        <f t="shared" si="27"/>
        <v>14.866435173170021</v>
      </c>
      <c r="AA44" s="69">
        <f t="shared" si="28"/>
        <v>20.795300024413351</v>
      </c>
      <c r="AB44" s="69">
        <f t="shared" si="29"/>
        <v>-5.9288648512433291</v>
      </c>
      <c r="AC44" s="68">
        <f t="shared" si="30"/>
        <v>-5.0617043287871505E-3</v>
      </c>
      <c r="AD44" s="70">
        <f t="shared" si="26"/>
        <v>1171.3178933673437</v>
      </c>
      <c r="AE44" s="37">
        <f t="shared" si="31"/>
        <v>-25.976409321957384</v>
      </c>
      <c r="AF44" s="37">
        <f t="shared" si="32"/>
        <v>0</v>
      </c>
      <c r="AG44" s="37">
        <f t="shared" si="33"/>
        <v>0</v>
      </c>
      <c r="AH44" t="str">
        <f t="shared" si="23"/>
        <v/>
      </c>
      <c r="AR44" s="233"/>
      <c r="AS44" s="233"/>
      <c r="AT44" s="233"/>
      <c r="AU44" s="233"/>
      <c r="AV44" s="233"/>
      <c r="AW44" s="233"/>
      <c r="AX44" s="233"/>
    </row>
    <row r="45" spans="1:50">
      <c r="A45" s="233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66"/>
      <c r="O45" s="266"/>
      <c r="P45" s="233"/>
      <c r="Q45" s="233"/>
      <c r="R45" s="233"/>
      <c r="S45" s="233"/>
      <c r="W45" s="67" t="s">
        <v>351</v>
      </c>
      <c r="X45" s="68">
        <f t="shared" si="24"/>
        <v>3.9930841670923228E-2</v>
      </c>
      <c r="Y45" s="68">
        <f t="shared" si="25"/>
        <v>2.7650385085211126E-2</v>
      </c>
      <c r="Z45" s="69">
        <f t="shared" si="27"/>
        <v>19.98167357439328</v>
      </c>
      <c r="AA45" s="69">
        <f t="shared" si="28"/>
        <v>20.795300024413351</v>
      </c>
      <c r="AB45" s="69">
        <f t="shared" si="29"/>
        <v>-0.81362645002007028</v>
      </c>
      <c r="AC45" s="68">
        <f t="shared" si="30"/>
        <v>-1.2280456585712102E-2</v>
      </c>
      <c r="AD45" s="70">
        <f t="shared" si="26"/>
        <v>66.253762174176586</v>
      </c>
      <c r="AE45" s="37">
        <f t="shared" si="31"/>
        <v>18.149731536933302</v>
      </c>
      <c r="AF45" s="37">
        <f t="shared" si="32"/>
        <v>66.253762174176586</v>
      </c>
      <c r="AG45" s="37">
        <f t="shared" si="33"/>
        <v>18.149731536933302</v>
      </c>
      <c r="AH45">
        <f t="shared" si="23"/>
        <v>66.253762174176586</v>
      </c>
      <c r="AR45" s="233"/>
      <c r="AS45" s="233"/>
      <c r="AT45" s="233"/>
      <c r="AU45" s="233"/>
      <c r="AV45" s="233"/>
      <c r="AW45" s="233"/>
      <c r="AX45" s="233"/>
    </row>
    <row r="46" spans="1:50">
      <c r="A46" s="233"/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66"/>
      <c r="Q46" s="266"/>
      <c r="R46" s="233"/>
      <c r="S46" s="233"/>
      <c r="W46" s="67" t="s">
        <v>352</v>
      </c>
      <c r="X46" s="68">
        <f t="shared" si="24"/>
        <v>3.9930841670923228E-2</v>
      </c>
      <c r="Y46" s="68">
        <f t="shared" si="25"/>
        <v>4.2425755703683045E-2</v>
      </c>
      <c r="Z46" s="69">
        <f t="shared" si="27"/>
        <v>24.547440308588811</v>
      </c>
      <c r="AA46" s="69">
        <f t="shared" si="28"/>
        <v>20.795300024413351</v>
      </c>
      <c r="AB46" s="69">
        <f t="shared" si="29"/>
        <v>3.7521402841754607</v>
      </c>
      <c r="AC46" s="68">
        <f t="shared" si="30"/>
        <v>2.4949140327598165E-3</v>
      </c>
      <c r="AD46" s="70">
        <f t="shared" si="26"/>
        <v>1503.9156599816506</v>
      </c>
      <c r="AE46" s="37">
        <f t="shared" si="31"/>
        <v>-39.257318080735949</v>
      </c>
      <c r="AF46" s="37">
        <f t="shared" si="32"/>
        <v>0</v>
      </c>
      <c r="AG46" s="37">
        <f t="shared" si="33"/>
        <v>0</v>
      </c>
      <c r="AH46" t="str">
        <f t="shared" si="23"/>
        <v/>
      </c>
      <c r="AR46" s="233"/>
      <c r="AS46" s="233"/>
      <c r="AT46" s="233"/>
      <c r="AU46" s="233"/>
      <c r="AV46" s="233"/>
      <c r="AW46" s="233"/>
      <c r="AX46" s="233"/>
    </row>
    <row r="47" spans="1:50">
      <c r="A47" s="233"/>
      <c r="B47" s="233"/>
      <c r="C47" s="233"/>
      <c r="D47" s="233"/>
      <c r="E47" s="233"/>
      <c r="F47" s="233"/>
      <c r="G47" s="233"/>
      <c r="H47" s="233"/>
      <c r="I47" s="233"/>
      <c r="J47" s="233"/>
      <c r="K47" s="233"/>
      <c r="L47" s="233"/>
      <c r="M47" s="233"/>
      <c r="N47" s="266"/>
      <c r="O47" s="266"/>
      <c r="P47" s="233"/>
      <c r="Q47" s="233"/>
      <c r="R47" s="233"/>
      <c r="S47" s="233"/>
      <c r="W47" s="67" t="s">
        <v>353</v>
      </c>
      <c r="X47" s="68">
        <f t="shared" si="24"/>
        <v>3.9930841670923228E-2</v>
      </c>
      <c r="Y47" s="68">
        <f t="shared" si="25"/>
        <v>3.1658261531841765E-2</v>
      </c>
      <c r="Z47" s="69">
        <f t="shared" si="27"/>
        <v>25.734619792288711</v>
      </c>
      <c r="AA47" s="69">
        <f t="shared" si="28"/>
        <v>20.795300024413351</v>
      </c>
      <c r="AB47" s="69">
        <f t="shared" si="29"/>
        <v>4.9393197678753609</v>
      </c>
      <c r="AC47" s="68">
        <f t="shared" si="30"/>
        <v>-8.2725801390814632E-3</v>
      </c>
      <c r="AD47" s="70">
        <f t="shared" si="26"/>
        <v>-597.07125042415032</v>
      </c>
      <c r="AE47" s="37">
        <f t="shared" si="31"/>
        <v>44.636857591360254</v>
      </c>
      <c r="AF47" s="37">
        <f t="shared" si="32"/>
        <v>0</v>
      </c>
      <c r="AG47" s="37">
        <f t="shared" si="33"/>
        <v>0</v>
      </c>
      <c r="AH47" t="str">
        <f t="shared" si="23"/>
        <v/>
      </c>
      <c r="AR47" s="233"/>
      <c r="AS47" s="233"/>
      <c r="AT47" s="233"/>
      <c r="AU47" s="233"/>
      <c r="AV47" s="233"/>
      <c r="AW47" s="233"/>
      <c r="AX47" s="233"/>
    </row>
    <row r="48" spans="1:50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66"/>
      <c r="Q48" s="266"/>
      <c r="R48" s="233"/>
      <c r="S48" s="233"/>
      <c r="W48" s="59" t="s">
        <v>354</v>
      </c>
      <c r="X48" s="71">
        <f>IF($U$29=0,0,$U$29/$V$29)</f>
        <v>3.0535098559320382E-2</v>
      </c>
      <c r="Y48" s="71">
        <f>IF(V30=0,0,U30/V30)</f>
        <v>6.4954748473815063E-2</v>
      </c>
      <c r="Z48" s="72">
        <f>U30</f>
        <v>16.287575916173076</v>
      </c>
      <c r="AA48" s="72">
        <f>$U$29</f>
        <v>15.90215756154428</v>
      </c>
      <c r="AB48" s="72">
        <f t="shared" si="29"/>
        <v>0.38541835462879526</v>
      </c>
      <c r="AC48" s="71">
        <f t="shared" si="30"/>
        <v>3.4419649914494685E-2</v>
      </c>
      <c r="AD48" s="51">
        <f>IF(AC48=0,0,AB48/AC48)</f>
        <v>11.197625646578386</v>
      </c>
      <c r="AE48" s="73">
        <f t="shared" si="31"/>
        <v>15.560236958795636</v>
      </c>
      <c r="AF48" s="73">
        <f t="shared" si="32"/>
        <v>11.197625646578386</v>
      </c>
      <c r="AG48" s="73">
        <f t="shared" si="33"/>
        <v>15.560236958795636</v>
      </c>
      <c r="AH48">
        <f t="shared" si="23"/>
        <v>11.197625646578386</v>
      </c>
      <c r="AI48" s="65">
        <f>MIN(AH48:AH56)</f>
        <v>11.197625646578386</v>
      </c>
      <c r="AJ48" s="66">
        <f>MAX(AG48:AG56)</f>
        <v>23.199250825798899</v>
      </c>
      <c r="AK48" s="58">
        <f>IF(OR(AI48=0,AJ48=0),"",VLOOKUP(AI48,AF48:AG56,2,FALSE))</f>
        <v>15.560236958795636</v>
      </c>
      <c r="AL48" s="57" t="str">
        <f>IF(AJ48=AK48,"ok","fallo")</f>
        <v>fallo</v>
      </c>
      <c r="AM48" s="108" t="str">
        <f>IF($AL$48="ok",IF(AI48&lt;0.5,0.5,AI48),"")</f>
        <v/>
      </c>
      <c r="AN48" s="48" t="str">
        <f>IF($AL$48="ok",AJ48,"")</f>
        <v/>
      </c>
      <c r="AO48" s="108" t="str">
        <f>IF(AM48="","",(AM48*$F$10)+(AN48*$F$9))</f>
        <v/>
      </c>
      <c r="AP48" s="108" t="str">
        <f>AM48</f>
        <v/>
      </c>
      <c r="AQ48" s="48" t="str">
        <f>AN48</f>
        <v/>
      </c>
      <c r="AR48" s="233"/>
      <c r="AS48" s="233"/>
      <c r="AT48" s="233"/>
      <c r="AU48" s="233"/>
      <c r="AV48" s="233"/>
      <c r="AW48" s="233"/>
      <c r="AX48" s="233"/>
    </row>
    <row r="49" spans="1:50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66"/>
      <c r="O49" s="266"/>
      <c r="P49" s="233"/>
      <c r="Q49" s="233"/>
      <c r="R49" s="233"/>
      <c r="S49" s="233"/>
      <c r="W49" s="59" t="s">
        <v>355</v>
      </c>
      <c r="X49" s="71">
        <f t="shared" ref="X49:X56" si="34">IF($U$29=0,0,$U$29/$V$29)</f>
        <v>3.0535098559320382E-2</v>
      </c>
      <c r="Y49" s="71">
        <f t="shared" ref="Y49:Y56" si="35">IF(V31=0,0,U31/V31)</f>
        <v>3.7259928406569512E-2</v>
      </c>
      <c r="Z49" s="72">
        <f t="shared" ref="Z49:Z56" si="36">U31</f>
        <v>14.442514123313487</v>
      </c>
      <c r="AA49" s="72">
        <f t="shared" ref="AA49:AA56" si="37">$U$29</f>
        <v>15.90215756154428</v>
      </c>
      <c r="AB49" s="72">
        <f t="shared" ref="AB49:AB57" si="38">Z49-AA49</f>
        <v>-1.4596434382307937</v>
      </c>
      <c r="AC49" s="71">
        <f t="shared" ref="AC49:AC57" si="39">Y49-X49</f>
        <v>6.7248298472491301E-3</v>
      </c>
      <c r="AD49" s="51">
        <f t="shared" ref="AD49:AD56" si="40">IF(AC49=0,0,AB49/AC49)</f>
        <v>-217.05284317756795</v>
      </c>
      <c r="AE49" s="73">
        <f t="shared" ref="AE49:AE57" si="41">-((X49)*AD49)+AA49</f>
        <v>22.52988752055203</v>
      </c>
      <c r="AF49" s="73">
        <f t="shared" ref="AF49:AF57" si="42">IF(OR(AD49&gt;$K$12,AD49&lt;0),0,AD49)</f>
        <v>0</v>
      </c>
      <c r="AG49" s="73">
        <f t="shared" ref="AG49:AG57" si="43">IF(OR(AE49&gt;$K$11,AE49&lt;0),0,AE49)</f>
        <v>22.52988752055203</v>
      </c>
      <c r="AH49" t="str">
        <f t="shared" si="23"/>
        <v/>
      </c>
      <c r="AR49" s="233"/>
      <c r="AS49" s="233"/>
      <c r="AT49" s="233"/>
      <c r="AU49" s="233"/>
      <c r="AV49" s="233"/>
      <c r="AW49" s="233"/>
      <c r="AX49" s="233"/>
    </row>
    <row r="50" spans="1:50">
      <c r="A50" s="233"/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66"/>
      <c r="Q50" s="266"/>
      <c r="R50" s="233"/>
      <c r="S50" s="233"/>
      <c r="W50" s="59" t="s">
        <v>356</v>
      </c>
      <c r="X50" s="71">
        <f t="shared" si="34"/>
        <v>3.0535098559320382E-2</v>
      </c>
      <c r="Y50" s="71">
        <f t="shared" si="35"/>
        <v>4.2887423555891882E-2</v>
      </c>
      <c r="Z50" s="72">
        <f t="shared" si="36"/>
        <v>13.859383928304215</v>
      </c>
      <c r="AA50" s="72">
        <f t="shared" si="37"/>
        <v>15.90215756154428</v>
      </c>
      <c r="AB50" s="72">
        <f t="shared" si="38"/>
        <v>-2.0427736332400652</v>
      </c>
      <c r="AC50" s="71">
        <f t="shared" si="39"/>
        <v>1.23523249965715E-2</v>
      </c>
      <c r="AD50" s="51">
        <f t="shared" si="40"/>
        <v>-165.37563849777717</v>
      </c>
      <c r="AE50" s="73">
        <f t="shared" si="41"/>
        <v>20.951918982384445</v>
      </c>
      <c r="AF50" s="73">
        <f t="shared" si="42"/>
        <v>0</v>
      </c>
      <c r="AG50" s="73">
        <f t="shared" si="43"/>
        <v>20.951918982384445</v>
      </c>
      <c r="AH50" t="str">
        <f t="shared" si="23"/>
        <v/>
      </c>
      <c r="AR50" s="233"/>
      <c r="AS50" s="233"/>
      <c r="AT50" s="233"/>
      <c r="AU50" s="233"/>
      <c r="AV50" s="233"/>
      <c r="AW50" s="233"/>
      <c r="AX50" s="233"/>
    </row>
    <row r="51" spans="1:50">
      <c r="A51" s="233"/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W51" s="59" t="s">
        <v>357</v>
      </c>
      <c r="X51" s="71">
        <f t="shared" si="34"/>
        <v>3.0535098559320382E-2</v>
      </c>
      <c r="Y51" s="71">
        <f t="shared" si="35"/>
        <v>3.6702862243295012E-2</v>
      </c>
      <c r="Z51" s="72">
        <f t="shared" si="36"/>
        <v>12.972056567263753</v>
      </c>
      <c r="AA51" s="72">
        <f t="shared" si="37"/>
        <v>15.90215756154428</v>
      </c>
      <c r="AB51" s="72">
        <f t="shared" si="38"/>
        <v>-2.9301009942805276</v>
      </c>
      <c r="AC51" s="71">
        <f t="shared" si="39"/>
        <v>6.1677636839746301E-3</v>
      </c>
      <c r="AD51" s="51">
        <f t="shared" si="40"/>
        <v>-475.06700068513521</v>
      </c>
      <c r="AE51" s="73">
        <f t="shared" si="41"/>
        <v>30.408375249745607</v>
      </c>
      <c r="AF51" s="73">
        <f t="shared" si="42"/>
        <v>0</v>
      </c>
      <c r="AG51" s="73">
        <f t="shared" si="43"/>
        <v>0</v>
      </c>
      <c r="AH51" t="str">
        <f t="shared" si="23"/>
        <v/>
      </c>
      <c r="AR51" s="233"/>
      <c r="AS51" s="233"/>
      <c r="AT51" s="233"/>
      <c r="AU51" s="233"/>
      <c r="AV51" s="233"/>
      <c r="AW51" s="233"/>
      <c r="AX51" s="233"/>
    </row>
    <row r="52" spans="1:50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W52" s="59" t="s">
        <v>358</v>
      </c>
      <c r="X52" s="71">
        <f t="shared" si="34"/>
        <v>3.0535098559320382E-2</v>
      </c>
      <c r="Y52" s="71">
        <f t="shared" si="35"/>
        <v>2.9583995808116749E-2</v>
      </c>
      <c r="Z52" s="72">
        <f t="shared" si="36"/>
        <v>13.916941058591101</v>
      </c>
      <c r="AA52" s="72">
        <f t="shared" si="37"/>
        <v>15.90215756154428</v>
      </c>
      <c r="AB52" s="72">
        <f t="shared" si="38"/>
        <v>-1.985216502953179</v>
      </c>
      <c r="AC52" s="71">
        <f t="shared" si="39"/>
        <v>-9.5110275120363283E-4</v>
      </c>
      <c r="AD52" s="51">
        <f t="shared" si="40"/>
        <v>2087.2786882814312</v>
      </c>
      <c r="AE52" s="73">
        <f t="shared" si="41"/>
        <v>-47.833102905898187</v>
      </c>
      <c r="AF52" s="73">
        <f t="shared" si="42"/>
        <v>0</v>
      </c>
      <c r="AG52" s="73">
        <f t="shared" si="43"/>
        <v>0</v>
      </c>
      <c r="AH52" t="str">
        <f t="shared" si="23"/>
        <v/>
      </c>
      <c r="AR52" s="233"/>
      <c r="AS52" s="233"/>
      <c r="AT52" s="233"/>
      <c r="AU52" s="233"/>
      <c r="AV52" s="233"/>
      <c r="AW52" s="233"/>
      <c r="AX52" s="233"/>
    </row>
    <row r="53" spans="1:50">
      <c r="A53" s="233"/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W53" s="59" t="s">
        <v>359</v>
      </c>
      <c r="X53" s="71">
        <f t="shared" si="34"/>
        <v>3.0535098559320382E-2</v>
      </c>
      <c r="Y53" s="71">
        <f t="shared" si="35"/>
        <v>3.4869137342136078E-2</v>
      </c>
      <c r="Z53" s="72">
        <f t="shared" si="36"/>
        <v>14.866435173170021</v>
      </c>
      <c r="AA53" s="72">
        <f t="shared" si="37"/>
        <v>15.90215756154428</v>
      </c>
      <c r="AB53" s="72">
        <f t="shared" si="38"/>
        <v>-1.0357223883742588</v>
      </c>
      <c r="AC53" s="71">
        <f t="shared" si="39"/>
        <v>4.3340387828156961E-3</v>
      </c>
      <c r="AD53" s="51">
        <f t="shared" si="40"/>
        <v>-238.97395484342684</v>
      </c>
      <c r="AE53" s="73">
        <f t="shared" si="41"/>
        <v>23.199250825798899</v>
      </c>
      <c r="AF53" s="73">
        <f t="shared" si="42"/>
        <v>0</v>
      </c>
      <c r="AG53" s="73">
        <f t="shared" si="43"/>
        <v>23.199250825798899</v>
      </c>
      <c r="AH53" t="str">
        <f t="shared" si="23"/>
        <v/>
      </c>
      <c r="AR53" s="233"/>
      <c r="AS53" s="233"/>
      <c r="AT53" s="233"/>
      <c r="AU53" s="233"/>
      <c r="AV53" s="233"/>
      <c r="AW53" s="233"/>
      <c r="AX53" s="233"/>
    </row>
    <row r="54" spans="1:50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W54" s="59" t="s">
        <v>360</v>
      </c>
      <c r="X54" s="71">
        <f t="shared" si="34"/>
        <v>3.0535098559320382E-2</v>
      </c>
      <c r="Y54" s="71">
        <f t="shared" si="35"/>
        <v>2.7650385085211126E-2</v>
      </c>
      <c r="Z54" s="72">
        <f t="shared" si="36"/>
        <v>19.98167357439328</v>
      </c>
      <c r="AA54" s="72">
        <f t="shared" si="37"/>
        <v>15.90215756154428</v>
      </c>
      <c r="AB54" s="72">
        <f t="shared" si="38"/>
        <v>4.079516012849</v>
      </c>
      <c r="AC54" s="71">
        <f t="shared" si="39"/>
        <v>-2.8847134741092559E-3</v>
      </c>
      <c r="AD54" s="51">
        <f t="shared" si="40"/>
        <v>-1414.1841293644168</v>
      </c>
      <c r="AE54" s="73">
        <f t="shared" si="41"/>
        <v>59.084409332713427</v>
      </c>
      <c r="AF54" s="73">
        <f t="shared" si="42"/>
        <v>0</v>
      </c>
      <c r="AG54" s="73">
        <f t="shared" si="43"/>
        <v>0</v>
      </c>
      <c r="AH54" t="str">
        <f t="shared" si="23"/>
        <v/>
      </c>
      <c r="AR54" s="233"/>
      <c r="AS54" s="233"/>
      <c r="AT54" s="233"/>
      <c r="AU54" s="233"/>
      <c r="AV54" s="233"/>
      <c r="AW54" s="233"/>
      <c r="AX54" s="233"/>
    </row>
    <row r="55" spans="1:50">
      <c r="A55" s="233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W55" s="59" t="s">
        <v>361</v>
      </c>
      <c r="X55" s="71">
        <f t="shared" si="34"/>
        <v>3.0535098559320382E-2</v>
      </c>
      <c r="Y55" s="71">
        <f t="shared" si="35"/>
        <v>4.2425755703683045E-2</v>
      </c>
      <c r="Z55" s="72">
        <f t="shared" si="36"/>
        <v>24.547440308588811</v>
      </c>
      <c r="AA55" s="72">
        <f t="shared" si="37"/>
        <v>15.90215756154428</v>
      </c>
      <c r="AB55" s="72">
        <f t="shared" si="38"/>
        <v>8.645282747044531</v>
      </c>
      <c r="AC55" s="71">
        <f t="shared" si="39"/>
        <v>1.1890657144362663E-2</v>
      </c>
      <c r="AD55" s="51">
        <f t="shared" si="40"/>
        <v>727.06517748207398</v>
      </c>
      <c r="AE55" s="73">
        <f t="shared" si="41"/>
        <v>-6.2988492919206163</v>
      </c>
      <c r="AF55" s="73">
        <f t="shared" si="42"/>
        <v>727.06517748207398</v>
      </c>
      <c r="AG55" s="73">
        <f t="shared" si="43"/>
        <v>0</v>
      </c>
      <c r="AH55">
        <f t="shared" si="23"/>
        <v>727.06517748207398</v>
      </c>
      <c r="AR55" s="233"/>
      <c r="AS55" s="233"/>
      <c r="AT55" s="233"/>
      <c r="AU55" s="233"/>
      <c r="AV55" s="233"/>
      <c r="AW55" s="233"/>
      <c r="AX55" s="233"/>
    </row>
    <row r="56" spans="1:50">
      <c r="A56" s="233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W56" s="59" t="s">
        <v>362</v>
      </c>
      <c r="X56" s="71">
        <f t="shared" si="34"/>
        <v>3.0535098559320382E-2</v>
      </c>
      <c r="Y56" s="71">
        <f t="shared" si="35"/>
        <v>3.1658261531841765E-2</v>
      </c>
      <c r="Z56" s="72">
        <f t="shared" si="36"/>
        <v>25.734619792288711</v>
      </c>
      <c r="AA56" s="72">
        <f t="shared" si="37"/>
        <v>15.90215756154428</v>
      </c>
      <c r="AB56" s="72">
        <f t="shared" si="38"/>
        <v>9.8324622307444312</v>
      </c>
      <c r="AC56" s="71">
        <f t="shared" si="39"/>
        <v>1.1231629725213833E-3</v>
      </c>
      <c r="AD56" s="51">
        <f t="shared" si="40"/>
        <v>8754.261377288447</v>
      </c>
      <c r="AE56" s="73">
        <f t="shared" si="41"/>
        <v>-251.41007640801027</v>
      </c>
      <c r="AF56" s="73">
        <f t="shared" si="42"/>
        <v>0</v>
      </c>
      <c r="AG56" s="73">
        <f t="shared" si="43"/>
        <v>0</v>
      </c>
      <c r="AH56" t="str">
        <f t="shared" si="23"/>
        <v/>
      </c>
      <c r="AR56" s="233"/>
      <c r="AS56" s="233"/>
      <c r="AT56" s="233"/>
      <c r="AU56" s="233"/>
      <c r="AV56" s="233"/>
      <c r="AW56" s="233"/>
      <c r="AX56" s="233"/>
    </row>
    <row r="57" spans="1:50">
      <c r="A57" s="233"/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W57" s="74" t="s">
        <v>363</v>
      </c>
      <c r="X57" s="75">
        <f>IF($U$30=0,0,$U$30/$V$30)</f>
        <v>6.4954748473815063E-2</v>
      </c>
      <c r="Y57" s="75">
        <f>IF(V31=0,0,U31/V31)</f>
        <v>3.7259928406569512E-2</v>
      </c>
      <c r="Z57" s="76">
        <f>U31</f>
        <v>14.442514123313487</v>
      </c>
      <c r="AA57" s="76">
        <f>$U$30</f>
        <v>16.287575916173076</v>
      </c>
      <c r="AB57" s="76">
        <f t="shared" si="38"/>
        <v>-1.8450617928595889</v>
      </c>
      <c r="AC57" s="75">
        <f t="shared" si="39"/>
        <v>-2.7694820067245551E-2</v>
      </c>
      <c r="AD57" s="77">
        <f>IF(AC57=0,0,AB57/AC57)</f>
        <v>66.621187224889368</v>
      </c>
      <c r="AE57" s="36">
        <f t="shared" si="41"/>
        <v>11.960213456953445</v>
      </c>
      <c r="AF57" s="36">
        <f t="shared" si="42"/>
        <v>66.621187224889368</v>
      </c>
      <c r="AG57" s="36">
        <f t="shared" si="43"/>
        <v>11.960213456953445</v>
      </c>
      <c r="AH57">
        <f t="shared" si="23"/>
        <v>66.621187224889368</v>
      </c>
      <c r="AI57" s="65">
        <f>MIN(AH57:AH64)</f>
        <v>47.236558924563369</v>
      </c>
      <c r="AJ57" s="66">
        <f>MAX(AG57:AG64)</f>
        <v>22.719777472002452</v>
      </c>
      <c r="AK57" s="58">
        <f>IF(OR(AI57=0,AJ57=0),"",VLOOKUP(AI57,AF57:AG64,2,FALSE))</f>
        <v>13.219337112459517</v>
      </c>
      <c r="AL57" s="57" t="str">
        <f>IF(AJ57=AK57,"ok","fallo")</f>
        <v>fallo</v>
      </c>
      <c r="AM57" s="108" t="str">
        <f>IF($AL$57="ok",IF(AI57&lt;0.5,0.5,AI57),"")</f>
        <v/>
      </c>
      <c r="AN57" s="48" t="str">
        <f>IF($AL$57="ok",AJ57,"")</f>
        <v/>
      </c>
      <c r="AO57" s="108" t="str">
        <f>IF(AM57="","",(AM57*$F$10)+(AN57*$F$9))</f>
        <v/>
      </c>
      <c r="AP57" s="108" t="str">
        <f>AM57</f>
        <v/>
      </c>
      <c r="AQ57" s="48" t="str">
        <f>AN57</f>
        <v/>
      </c>
      <c r="AR57" s="233"/>
      <c r="AS57" s="233"/>
      <c r="AT57" s="233"/>
      <c r="AU57" s="233"/>
      <c r="AV57" s="233"/>
      <c r="AW57" s="233"/>
      <c r="AX57" s="233"/>
    </row>
    <row r="58" spans="1:50">
      <c r="A58" s="233"/>
      <c r="B58" s="233"/>
      <c r="C58" s="233"/>
      <c r="D58" s="233"/>
      <c r="E58" s="233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W58" s="74" t="s">
        <v>364</v>
      </c>
      <c r="X58" s="75">
        <f t="shared" ref="X58:X64" si="44">IF($U$30=0,0,$U$30/$V$30)</f>
        <v>6.4954748473815063E-2</v>
      </c>
      <c r="Y58" s="75">
        <f t="shared" ref="Y58:Y64" si="45">IF(V32=0,0,U32/V32)</f>
        <v>4.2887423555891882E-2</v>
      </c>
      <c r="Z58" s="76">
        <f t="shared" ref="Z58:Z64" si="46">U32</f>
        <v>13.859383928304215</v>
      </c>
      <c r="AA58" s="76">
        <f t="shared" ref="AA58:AA64" si="47">$U$30</f>
        <v>16.287575916173076</v>
      </c>
      <c r="AB58" s="76">
        <f t="shared" ref="AB58:AB65" si="48">Z58-AA58</f>
        <v>-2.4281919878688605</v>
      </c>
      <c r="AC58" s="75">
        <f t="shared" ref="AC58:AC65" si="49">Y58-X58</f>
        <v>-2.2067324917923181E-2</v>
      </c>
      <c r="AD58" s="77">
        <f t="shared" ref="AD58:AD64" si="50">IF(AC58=0,0,AB58/AC58)</f>
        <v>110.0356294612163</v>
      </c>
      <c r="AE58" s="36">
        <f t="shared" ref="AE58:AE65" si="51">-((X58)*AD58)+AA58</f>
        <v>9.1402392813618558</v>
      </c>
      <c r="AF58" s="36">
        <f t="shared" ref="AF58:AF65" si="52">IF(OR(AD58&gt;$K$12,AD58&lt;0),0,AD58)</f>
        <v>110.0356294612163</v>
      </c>
      <c r="AG58" s="36">
        <f t="shared" ref="AG58:AG65" si="53">IF(OR(AE58&gt;$K$11,AE58&lt;0),0,AE58)</f>
        <v>9.1402392813618558</v>
      </c>
      <c r="AH58">
        <f t="shared" ref="AH58:AH65" si="54">IF(AF58&gt;0,AF58,"")</f>
        <v>110.0356294612163</v>
      </c>
      <c r="AR58" s="233"/>
      <c r="AS58" s="233"/>
      <c r="AT58" s="233"/>
      <c r="AU58" s="233"/>
      <c r="AV58" s="233"/>
      <c r="AW58" s="233"/>
      <c r="AX58" s="233"/>
    </row>
    <row r="59" spans="1:50">
      <c r="A59" s="233"/>
      <c r="B59" s="233"/>
      <c r="C59" s="233"/>
      <c r="D59" s="233"/>
      <c r="E59" s="233"/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W59" s="74" t="s">
        <v>365</v>
      </c>
      <c r="X59" s="75">
        <f t="shared" si="44"/>
        <v>6.4954748473815063E-2</v>
      </c>
      <c r="Y59" s="75">
        <f t="shared" si="45"/>
        <v>3.6702862243295012E-2</v>
      </c>
      <c r="Z59" s="76">
        <f t="shared" si="46"/>
        <v>12.972056567263753</v>
      </c>
      <c r="AA59" s="76">
        <f t="shared" si="47"/>
        <v>16.287575916173076</v>
      </c>
      <c r="AB59" s="76">
        <f t="shared" si="48"/>
        <v>-3.3155193489093229</v>
      </c>
      <c r="AC59" s="75">
        <f t="shared" si="49"/>
        <v>-2.8251886230520051E-2</v>
      </c>
      <c r="AD59" s="77">
        <f t="shared" si="50"/>
        <v>117.35568102803775</v>
      </c>
      <c r="AE59" s="36">
        <f t="shared" si="51"/>
        <v>8.6647671730236127</v>
      </c>
      <c r="AF59" s="36">
        <f t="shared" si="52"/>
        <v>117.35568102803775</v>
      </c>
      <c r="AG59" s="36">
        <f t="shared" si="53"/>
        <v>8.6647671730236127</v>
      </c>
      <c r="AH59">
        <f t="shared" si="54"/>
        <v>117.35568102803775</v>
      </c>
      <c r="AR59" s="233"/>
      <c r="AS59" s="233"/>
      <c r="AT59" s="233"/>
      <c r="AU59" s="233"/>
      <c r="AV59" s="233"/>
      <c r="AW59" s="233"/>
      <c r="AX59" s="233"/>
    </row>
    <row r="60" spans="1:50">
      <c r="A60" s="233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W60" s="74" t="s">
        <v>366</v>
      </c>
      <c r="X60" s="75">
        <f t="shared" si="44"/>
        <v>6.4954748473815063E-2</v>
      </c>
      <c r="Y60" s="75">
        <f t="shared" si="45"/>
        <v>2.9583995808116749E-2</v>
      </c>
      <c r="Z60" s="76">
        <f t="shared" si="46"/>
        <v>13.916941058591101</v>
      </c>
      <c r="AA60" s="76">
        <f t="shared" si="47"/>
        <v>16.287575916173076</v>
      </c>
      <c r="AB60" s="76">
        <f t="shared" si="48"/>
        <v>-2.3706348575819742</v>
      </c>
      <c r="AC60" s="75">
        <f t="shared" si="49"/>
        <v>-3.5370752665698314E-2</v>
      </c>
      <c r="AD60" s="77">
        <f t="shared" si="50"/>
        <v>67.022460053018818</v>
      </c>
      <c r="AE60" s="36">
        <f t="shared" si="51"/>
        <v>11.93414888133292</v>
      </c>
      <c r="AF60" s="36">
        <f t="shared" si="52"/>
        <v>67.022460053018818</v>
      </c>
      <c r="AG60" s="36">
        <f t="shared" si="53"/>
        <v>11.93414888133292</v>
      </c>
      <c r="AH60">
        <f t="shared" si="54"/>
        <v>67.022460053018818</v>
      </c>
      <c r="AR60" s="233"/>
      <c r="AS60" s="233"/>
      <c r="AT60" s="233"/>
      <c r="AU60" s="233"/>
      <c r="AV60" s="233"/>
      <c r="AW60" s="233"/>
      <c r="AX60" s="233"/>
    </row>
    <row r="61" spans="1:50">
      <c r="A61" s="233"/>
      <c r="B61" s="233"/>
      <c r="C61" s="233"/>
      <c r="D61" s="233"/>
      <c r="E61" s="233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W61" s="74" t="s">
        <v>367</v>
      </c>
      <c r="X61" s="75">
        <f t="shared" si="44"/>
        <v>6.4954748473815063E-2</v>
      </c>
      <c r="Y61" s="75">
        <f t="shared" si="45"/>
        <v>3.4869137342136078E-2</v>
      </c>
      <c r="Z61" s="76">
        <f t="shared" si="46"/>
        <v>14.866435173170021</v>
      </c>
      <c r="AA61" s="76">
        <f t="shared" si="47"/>
        <v>16.287575916173076</v>
      </c>
      <c r="AB61" s="76">
        <f t="shared" si="48"/>
        <v>-1.421140743003054</v>
      </c>
      <c r="AC61" s="75">
        <f t="shared" si="49"/>
        <v>-3.0085611131678985E-2</v>
      </c>
      <c r="AD61" s="77">
        <f t="shared" si="50"/>
        <v>47.236558924563369</v>
      </c>
      <c r="AE61" s="36">
        <f t="shared" si="51"/>
        <v>13.219337112459517</v>
      </c>
      <c r="AF61" s="36">
        <f t="shared" si="52"/>
        <v>47.236558924563369</v>
      </c>
      <c r="AG61" s="36">
        <f t="shared" si="53"/>
        <v>13.219337112459517</v>
      </c>
      <c r="AH61">
        <f t="shared" si="54"/>
        <v>47.236558924563369</v>
      </c>
      <c r="AR61" s="233"/>
      <c r="AS61" s="233"/>
      <c r="AT61" s="233"/>
      <c r="AU61" s="233"/>
      <c r="AV61" s="233"/>
      <c r="AW61" s="233"/>
      <c r="AX61" s="233"/>
    </row>
    <row r="62" spans="1:50">
      <c r="A62" s="233"/>
      <c r="B62" s="233"/>
      <c r="C62" s="233"/>
      <c r="D62" s="233"/>
      <c r="E62" s="233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W62" s="74" t="s">
        <v>368</v>
      </c>
      <c r="X62" s="75">
        <f t="shared" si="44"/>
        <v>6.4954748473815063E-2</v>
      </c>
      <c r="Y62" s="75">
        <f t="shared" si="45"/>
        <v>2.7650385085211126E-2</v>
      </c>
      <c r="Z62" s="76">
        <f t="shared" si="46"/>
        <v>19.98167357439328</v>
      </c>
      <c r="AA62" s="76">
        <f t="shared" si="47"/>
        <v>16.287575916173076</v>
      </c>
      <c r="AB62" s="76">
        <f t="shared" si="48"/>
        <v>3.6940976582202047</v>
      </c>
      <c r="AC62" s="75">
        <f t="shared" si="49"/>
        <v>-3.7304363388603934E-2</v>
      </c>
      <c r="AD62" s="77">
        <f t="shared" si="50"/>
        <v>-99.025886589682699</v>
      </c>
      <c r="AE62" s="36">
        <f t="shared" si="51"/>
        <v>22.719777472002452</v>
      </c>
      <c r="AF62" s="36">
        <f t="shared" si="52"/>
        <v>0</v>
      </c>
      <c r="AG62" s="36">
        <f t="shared" si="53"/>
        <v>22.719777472002452</v>
      </c>
      <c r="AH62" t="str">
        <f t="shared" si="54"/>
        <v/>
      </c>
      <c r="AR62" s="233"/>
      <c r="AS62" s="233"/>
      <c r="AT62" s="233"/>
      <c r="AU62" s="233"/>
      <c r="AV62" s="233"/>
      <c r="AW62" s="233"/>
      <c r="AX62" s="233"/>
    </row>
    <row r="63" spans="1:50">
      <c r="A63" s="233"/>
      <c r="B63" s="233"/>
      <c r="C63" s="233"/>
      <c r="D63" s="233"/>
      <c r="E63" s="233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W63" s="74" t="s">
        <v>369</v>
      </c>
      <c r="X63" s="75">
        <f t="shared" si="44"/>
        <v>6.4954748473815063E-2</v>
      </c>
      <c r="Y63" s="75">
        <f t="shared" si="45"/>
        <v>4.2425755703683045E-2</v>
      </c>
      <c r="Z63" s="76">
        <f t="shared" si="46"/>
        <v>24.547440308588811</v>
      </c>
      <c r="AA63" s="76">
        <f t="shared" si="47"/>
        <v>16.287575916173076</v>
      </c>
      <c r="AB63" s="76">
        <f t="shared" si="48"/>
        <v>8.2598643924157358</v>
      </c>
      <c r="AC63" s="75">
        <f t="shared" si="49"/>
        <v>-2.2528992770132018E-2</v>
      </c>
      <c r="AD63" s="77">
        <f t="shared" si="50"/>
        <v>-366.63265316354102</v>
      </c>
      <c r="AE63" s="36">
        <f t="shared" si="51"/>
        <v>40.10210768469836</v>
      </c>
      <c r="AF63" s="36">
        <f t="shared" si="52"/>
        <v>0</v>
      </c>
      <c r="AG63" s="36">
        <f t="shared" si="53"/>
        <v>0</v>
      </c>
      <c r="AH63" t="str">
        <f t="shared" si="54"/>
        <v/>
      </c>
      <c r="AR63" s="233"/>
      <c r="AS63" s="233"/>
      <c r="AT63" s="233"/>
      <c r="AU63" s="233"/>
      <c r="AV63" s="233"/>
      <c r="AW63" s="233"/>
      <c r="AX63" s="233"/>
    </row>
    <row r="64" spans="1:50">
      <c r="A64" s="233"/>
      <c r="B64" s="233"/>
      <c r="C64" s="233"/>
      <c r="D64" s="233"/>
      <c r="E64" s="233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W64" s="74" t="s">
        <v>370</v>
      </c>
      <c r="X64" s="75">
        <f t="shared" si="44"/>
        <v>6.4954748473815063E-2</v>
      </c>
      <c r="Y64" s="75">
        <f t="shared" si="45"/>
        <v>3.1658261531841765E-2</v>
      </c>
      <c r="Z64" s="76">
        <f t="shared" si="46"/>
        <v>25.734619792288711</v>
      </c>
      <c r="AA64" s="76">
        <f t="shared" si="47"/>
        <v>16.287575916173076</v>
      </c>
      <c r="AB64" s="76">
        <f t="shared" si="48"/>
        <v>9.4470438761156359</v>
      </c>
      <c r="AC64" s="75">
        <f t="shared" si="49"/>
        <v>-3.3296486941973298E-2</v>
      </c>
      <c r="AD64" s="77">
        <f t="shared" si="50"/>
        <v>-283.72494349266509</v>
      </c>
      <c r="AE64" s="36">
        <f t="shared" si="51"/>
        <v>34.716858256486532</v>
      </c>
      <c r="AF64" s="36">
        <f t="shared" si="52"/>
        <v>0</v>
      </c>
      <c r="AG64" s="36">
        <f t="shared" si="53"/>
        <v>0</v>
      </c>
      <c r="AH64" t="str">
        <f t="shared" si="54"/>
        <v/>
      </c>
      <c r="AR64" s="233"/>
      <c r="AS64" s="233"/>
      <c r="AT64" s="233"/>
      <c r="AU64" s="233"/>
      <c r="AV64" s="233"/>
      <c r="AW64" s="233"/>
      <c r="AX64" s="233"/>
    </row>
    <row r="65" spans="1:50">
      <c r="A65" s="233"/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W65" s="78" t="s">
        <v>371</v>
      </c>
      <c r="X65" s="79">
        <f>IF($U$31=0,0,$U$31/$V$31)</f>
        <v>3.7259928406569512E-2</v>
      </c>
      <c r="Y65" s="79">
        <f>IF(V32=0,0,U32/V32)</f>
        <v>4.2887423555891882E-2</v>
      </c>
      <c r="Z65" s="80">
        <f>U32</f>
        <v>13.859383928304215</v>
      </c>
      <c r="AA65" s="80">
        <f>$U$31</f>
        <v>14.442514123313487</v>
      </c>
      <c r="AB65" s="80">
        <f t="shared" si="48"/>
        <v>-0.58313019500927155</v>
      </c>
      <c r="AC65" s="79">
        <f t="shared" si="49"/>
        <v>5.6274951493223702E-3</v>
      </c>
      <c r="AD65" s="81">
        <f>IF(AC65=0,0,AB65/AC65)</f>
        <v>-103.62162552543269</v>
      </c>
      <c r="AE65" s="82">
        <f t="shared" si="51"/>
        <v>18.303448471763463</v>
      </c>
      <c r="AF65" s="82">
        <f t="shared" si="52"/>
        <v>0</v>
      </c>
      <c r="AG65" s="82">
        <f t="shared" si="53"/>
        <v>18.303448471763463</v>
      </c>
      <c r="AH65" t="str">
        <f t="shared" si="54"/>
        <v/>
      </c>
      <c r="AI65" s="65">
        <f>MIN(AH65:AH71)</f>
        <v>68.47025530530648</v>
      </c>
      <c r="AJ65" s="66">
        <f>MAX(AG65:AG71)</f>
        <v>21.04922610357405</v>
      </c>
      <c r="AK65" s="58">
        <f>IF(OR(AI65=0,AJ65=0),"",VLOOKUP(AI65,AF65:AG71,2,FALSE))</f>
        <v>11.891317312658231</v>
      </c>
      <c r="AL65" s="57" t="str">
        <f>IF(AJ65=AK65,"ok","fallo")</f>
        <v>fallo</v>
      </c>
      <c r="AM65" s="108" t="str">
        <f>IF($AL$65="ok",IF(AI65&lt;0.5,0.5,AI65),"")</f>
        <v/>
      </c>
      <c r="AN65" s="48" t="str">
        <f>IF($AL$65="ok",AJ65,"")</f>
        <v/>
      </c>
      <c r="AO65" s="108" t="str">
        <f>IF(AM65="","",(AM65*$F$10)+(AN65*$F$9))</f>
        <v/>
      </c>
      <c r="AP65" s="108" t="str">
        <f>AM65</f>
        <v/>
      </c>
      <c r="AQ65" s="48" t="str">
        <f>AN65</f>
        <v/>
      </c>
      <c r="AR65" s="233"/>
      <c r="AS65" s="233"/>
      <c r="AT65" s="233"/>
      <c r="AU65" s="233"/>
      <c r="AV65" s="233"/>
      <c r="AW65" s="233"/>
      <c r="AX65" s="233"/>
    </row>
    <row r="66" spans="1:50">
      <c r="A66" s="233"/>
      <c r="B66" s="233"/>
      <c r="C66" s="233"/>
      <c r="D66" s="233"/>
      <c r="E66" s="233"/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W66" s="78" t="s">
        <v>372</v>
      </c>
      <c r="X66" s="79">
        <f t="shared" ref="X66:X71" si="55">IF($U$31=0,0,$U$31/$V$31)</f>
        <v>3.7259928406569512E-2</v>
      </c>
      <c r="Y66" s="79">
        <f t="shared" ref="Y66:Y71" si="56">IF(V33=0,0,U33/V33)</f>
        <v>3.6702862243295012E-2</v>
      </c>
      <c r="Z66" s="80">
        <f t="shared" ref="Z66:Z71" si="57">U33</f>
        <v>12.972056567263753</v>
      </c>
      <c r="AA66" s="80">
        <f t="shared" ref="AA66:AA71" si="58">$U$31</f>
        <v>14.442514123313487</v>
      </c>
      <c r="AB66" s="80">
        <f t="shared" ref="AB66:AB72" si="59">Z66-AA66</f>
        <v>-1.4704575560497339</v>
      </c>
      <c r="AC66" s="79">
        <f t="shared" ref="AC66:AC72" si="60">Y66-X66</f>
        <v>-5.5706616327449998E-4</v>
      </c>
      <c r="AD66" s="81">
        <f t="shared" ref="AD66:AD71" si="61">IF(AC66=0,0,AB66/AC66)</f>
        <v>2639.6461551464777</v>
      </c>
      <c r="AE66" s="82">
        <f t="shared" ref="AE66:AE72" si="62">-((X66)*AD66)+AA66</f>
        <v>-83.910512636120743</v>
      </c>
      <c r="AF66" s="82">
        <f t="shared" ref="AF66:AF72" si="63">IF(OR(AD66&gt;$K$12,AD66&lt;0),0,AD66)</f>
        <v>0</v>
      </c>
      <c r="AG66" s="82">
        <f t="shared" ref="AG66:AG72" si="64">IF(OR(AE66&gt;$K$11,AE66&lt;0),0,AE66)</f>
        <v>0</v>
      </c>
      <c r="AH66" t="str">
        <f t="shared" ref="AH66:AH72" si="65">IF(AF66&gt;0,AF66,"")</f>
        <v/>
      </c>
      <c r="AR66" s="233"/>
      <c r="AS66" s="233"/>
      <c r="AT66" s="233"/>
      <c r="AU66" s="233"/>
      <c r="AV66" s="233"/>
      <c r="AW66" s="233"/>
      <c r="AX66" s="233"/>
    </row>
    <row r="67" spans="1:50">
      <c r="A67" s="233"/>
      <c r="B67" s="233"/>
      <c r="C67" s="233"/>
      <c r="D67" s="233"/>
      <c r="E67" s="233"/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W67" s="78" t="s">
        <v>373</v>
      </c>
      <c r="X67" s="79">
        <f t="shared" si="55"/>
        <v>3.7259928406569512E-2</v>
      </c>
      <c r="Y67" s="79">
        <f t="shared" si="56"/>
        <v>2.9583995808116749E-2</v>
      </c>
      <c r="Z67" s="80">
        <f t="shared" si="57"/>
        <v>13.916941058591101</v>
      </c>
      <c r="AA67" s="80">
        <f t="shared" si="58"/>
        <v>14.442514123313487</v>
      </c>
      <c r="AB67" s="80">
        <f t="shared" si="59"/>
        <v>-0.5255730647223853</v>
      </c>
      <c r="AC67" s="79">
        <f t="shared" si="60"/>
        <v>-7.6759325984527629E-3</v>
      </c>
      <c r="AD67" s="81">
        <f t="shared" si="61"/>
        <v>68.47025530530648</v>
      </c>
      <c r="AE67" s="82">
        <f t="shared" si="62"/>
        <v>11.891317312658231</v>
      </c>
      <c r="AF67" s="82">
        <f t="shared" si="63"/>
        <v>68.47025530530648</v>
      </c>
      <c r="AG67" s="82">
        <f t="shared" si="64"/>
        <v>11.891317312658231</v>
      </c>
      <c r="AH67">
        <f t="shared" si="65"/>
        <v>68.47025530530648</v>
      </c>
      <c r="AR67" s="233"/>
      <c r="AS67" s="233"/>
      <c r="AT67" s="233"/>
      <c r="AU67" s="233"/>
      <c r="AV67" s="233"/>
      <c r="AW67" s="233"/>
      <c r="AX67" s="233"/>
    </row>
    <row r="68" spans="1:50">
      <c r="A68" s="233"/>
      <c r="B68" s="233"/>
      <c r="D68" s="233"/>
      <c r="E68" s="233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W68" s="78" t="s">
        <v>374</v>
      </c>
      <c r="X68" s="79">
        <f t="shared" si="55"/>
        <v>3.7259928406569512E-2</v>
      </c>
      <c r="Y68" s="79">
        <f t="shared" si="56"/>
        <v>3.4869137342136078E-2</v>
      </c>
      <c r="Z68" s="80">
        <f t="shared" si="57"/>
        <v>14.866435173170021</v>
      </c>
      <c r="AA68" s="80">
        <f t="shared" si="58"/>
        <v>14.442514123313487</v>
      </c>
      <c r="AB68" s="80">
        <f t="shared" si="59"/>
        <v>0.42392104985653489</v>
      </c>
      <c r="AC68" s="79">
        <f t="shared" si="60"/>
        <v>-2.390791064433434E-3</v>
      </c>
      <c r="AD68" s="81">
        <f t="shared" si="61"/>
        <v>-177.31413512581244</v>
      </c>
      <c r="AE68" s="82">
        <f t="shared" si="62"/>
        <v>21.04922610357405</v>
      </c>
      <c r="AF68" s="82">
        <f t="shared" si="63"/>
        <v>0</v>
      </c>
      <c r="AG68" s="82">
        <f t="shared" si="64"/>
        <v>21.04922610357405</v>
      </c>
      <c r="AH68" t="str">
        <f t="shared" si="65"/>
        <v/>
      </c>
      <c r="AR68" s="233"/>
      <c r="AS68" s="233"/>
      <c r="AT68" s="233"/>
      <c r="AU68" s="233"/>
      <c r="AV68" s="233"/>
      <c r="AW68" s="233"/>
      <c r="AX68" s="233"/>
    </row>
    <row r="69" spans="1:50">
      <c r="A69" s="233"/>
      <c r="B69" s="233"/>
      <c r="D69" s="233"/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W69" s="78" t="s">
        <v>375</v>
      </c>
      <c r="X69" s="79">
        <f t="shared" si="55"/>
        <v>3.7259928406569512E-2</v>
      </c>
      <c r="Y69" s="79">
        <f t="shared" si="56"/>
        <v>2.7650385085211126E-2</v>
      </c>
      <c r="Z69" s="80">
        <f t="shared" si="57"/>
        <v>19.98167357439328</v>
      </c>
      <c r="AA69" s="80">
        <f t="shared" si="58"/>
        <v>14.442514123313487</v>
      </c>
      <c r="AB69" s="80">
        <f t="shared" si="59"/>
        <v>5.5391594510797937</v>
      </c>
      <c r="AC69" s="79">
        <f t="shared" si="60"/>
        <v>-9.609543321358386E-3</v>
      </c>
      <c r="AD69" s="81">
        <f t="shared" si="61"/>
        <v>-576.42275661199574</v>
      </c>
      <c r="AE69" s="82">
        <f t="shared" si="62"/>
        <v>35.919984766593892</v>
      </c>
      <c r="AF69" s="82">
        <f t="shared" si="63"/>
        <v>0</v>
      </c>
      <c r="AG69" s="82">
        <f t="shared" si="64"/>
        <v>0</v>
      </c>
      <c r="AH69" t="str">
        <f t="shared" si="65"/>
        <v/>
      </c>
      <c r="AR69" s="233"/>
      <c r="AS69" s="233"/>
      <c r="AT69" s="233"/>
      <c r="AU69" s="233"/>
      <c r="AV69" s="233"/>
      <c r="AW69" s="233"/>
      <c r="AX69" s="233"/>
    </row>
    <row r="70" spans="1:50">
      <c r="A70" s="233"/>
      <c r="B70" s="233"/>
      <c r="D70" s="233"/>
      <c r="E70" s="233"/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W70" s="78" t="s">
        <v>376</v>
      </c>
      <c r="X70" s="79">
        <f t="shared" si="55"/>
        <v>3.7259928406569512E-2</v>
      </c>
      <c r="Y70" s="79">
        <f t="shared" si="56"/>
        <v>4.2425755703683045E-2</v>
      </c>
      <c r="Z70" s="80">
        <f t="shared" si="57"/>
        <v>24.547440308588811</v>
      </c>
      <c r="AA70" s="80">
        <f t="shared" si="58"/>
        <v>14.442514123313487</v>
      </c>
      <c r="AB70" s="80">
        <f t="shared" si="59"/>
        <v>10.104926185275325</v>
      </c>
      <c r="AC70" s="79">
        <f t="shared" si="60"/>
        <v>5.165827297113533E-3</v>
      </c>
      <c r="AD70" s="81">
        <f t="shared" si="61"/>
        <v>1956.109951821574</v>
      </c>
      <c r="AE70" s="82">
        <f t="shared" si="62"/>
        <v>-58.442002636936493</v>
      </c>
      <c r="AF70" s="82">
        <f t="shared" si="63"/>
        <v>0</v>
      </c>
      <c r="AG70" s="82">
        <f t="shared" si="64"/>
        <v>0</v>
      </c>
      <c r="AH70" t="str">
        <f t="shared" si="65"/>
        <v/>
      </c>
      <c r="AR70" s="233"/>
      <c r="AS70" s="233"/>
      <c r="AT70" s="233"/>
      <c r="AU70" s="233"/>
      <c r="AV70" s="233"/>
      <c r="AW70" s="233"/>
      <c r="AX70" s="233"/>
    </row>
    <row r="71" spans="1:50">
      <c r="A71" s="233"/>
      <c r="B71" s="233"/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W71" s="78" t="s">
        <v>377</v>
      </c>
      <c r="X71" s="79">
        <f t="shared" si="55"/>
        <v>3.7259928406569512E-2</v>
      </c>
      <c r="Y71" s="79">
        <f t="shared" si="56"/>
        <v>3.1658261531841765E-2</v>
      </c>
      <c r="Z71" s="80">
        <f t="shared" si="57"/>
        <v>25.734619792288711</v>
      </c>
      <c r="AA71" s="80">
        <f t="shared" si="58"/>
        <v>14.442514123313487</v>
      </c>
      <c r="AB71" s="80">
        <f t="shared" si="59"/>
        <v>11.292105668975225</v>
      </c>
      <c r="AC71" s="79">
        <f t="shared" si="60"/>
        <v>-5.6016668747277468E-3</v>
      </c>
      <c r="AD71" s="81">
        <f t="shared" si="61"/>
        <v>-2015.8474114053856</v>
      </c>
      <c r="AE71" s="82">
        <f t="shared" si="62"/>
        <v>89.552844350846627</v>
      </c>
      <c r="AF71" s="82">
        <f t="shared" si="63"/>
        <v>0</v>
      </c>
      <c r="AG71" s="82">
        <f t="shared" si="64"/>
        <v>0</v>
      </c>
      <c r="AH71" t="str">
        <f t="shared" si="65"/>
        <v/>
      </c>
      <c r="AR71" s="233"/>
      <c r="AS71" s="233"/>
      <c r="AT71" s="233"/>
      <c r="AU71" s="233"/>
      <c r="AV71" s="233"/>
      <c r="AW71" s="233"/>
      <c r="AX71" s="233"/>
    </row>
    <row r="72" spans="1:50">
      <c r="A72" s="233"/>
      <c r="B72" s="233"/>
      <c r="D72" s="233"/>
      <c r="E72" s="233"/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W72" s="83" t="s">
        <v>378</v>
      </c>
      <c r="X72" s="84">
        <f>IF($U$32=0,0,$U$32/$V$32)</f>
        <v>4.2887423555891882E-2</v>
      </c>
      <c r="Y72" s="84">
        <f>IF(V33=0,0,U33/V33)</f>
        <v>3.6702862243295012E-2</v>
      </c>
      <c r="Z72" s="85">
        <f t="shared" ref="Z72:Z77" si="66">U33</f>
        <v>12.972056567263753</v>
      </c>
      <c r="AA72" s="85">
        <f t="shared" ref="AA72:AA77" si="67">$U$32</f>
        <v>13.859383928304215</v>
      </c>
      <c r="AB72" s="85">
        <f t="shared" si="59"/>
        <v>-0.88732736104046239</v>
      </c>
      <c r="AC72" s="84">
        <f t="shared" si="60"/>
        <v>-6.1845613125968701E-3</v>
      </c>
      <c r="AD72" s="86">
        <f>IF(AC72=0,0,AB72/AC72)</f>
        <v>143.47458391804309</v>
      </c>
      <c r="AE72" s="87">
        <f t="shared" si="62"/>
        <v>7.7061286783057472</v>
      </c>
      <c r="AF72" s="87">
        <f t="shared" si="63"/>
        <v>143.47458391804309</v>
      </c>
      <c r="AG72" s="87">
        <f t="shared" si="64"/>
        <v>7.7061286783057472</v>
      </c>
      <c r="AH72">
        <f t="shared" si="65"/>
        <v>143.47458391804309</v>
      </c>
      <c r="AI72" s="65">
        <f>MIN(AH72:AH77)</f>
        <v>143.47458391804309</v>
      </c>
      <c r="AJ72" s="66">
        <f>MAX(AG72:AG77)</f>
        <v>19.245800941824328</v>
      </c>
      <c r="AK72" s="58">
        <f>IF(OR(AI72=0,AJ72=0),"",VLOOKUP(AI72,AF72:AG77,2,FALSE))</f>
        <v>7.7061286783057472</v>
      </c>
      <c r="AL72" s="57" t="str">
        <f>IF(AJ72=AK72,"ok","fallo")</f>
        <v>fallo</v>
      </c>
      <c r="AM72" s="108" t="str">
        <f>IF($AL$72="ok",IF(AI72&lt;0.5,0.5,AI72),"")</f>
        <v/>
      </c>
      <c r="AN72" s="48" t="str">
        <f>IF($AL$72="ok",AJ72,"")</f>
        <v/>
      </c>
      <c r="AO72" s="108" t="str">
        <f>IF(AM72="","",(AM72*$F$10)+(AN72*$F$9))</f>
        <v/>
      </c>
      <c r="AP72" s="108" t="str">
        <f>AM72</f>
        <v/>
      </c>
      <c r="AQ72" s="48" t="str">
        <f>AN72</f>
        <v/>
      </c>
      <c r="AR72" s="233"/>
      <c r="AS72" s="233"/>
      <c r="AT72" s="233"/>
      <c r="AU72" s="233"/>
      <c r="AV72" s="233"/>
      <c r="AW72" s="233"/>
      <c r="AX72" s="233"/>
    </row>
    <row r="73" spans="1:50">
      <c r="W73" s="83" t="s">
        <v>379</v>
      </c>
      <c r="X73" s="84">
        <f t="shared" ref="X73:X77" si="68">IF($U$32=0,0,$U$32/$V$32)</f>
        <v>4.2887423555891882E-2</v>
      </c>
      <c r="Y73" s="84">
        <f t="shared" ref="Y73:Y77" si="69">IF(V34=0,0,U34/V34)</f>
        <v>2.9583995808116749E-2</v>
      </c>
      <c r="Z73" s="85">
        <f t="shared" si="66"/>
        <v>13.916941058591101</v>
      </c>
      <c r="AA73" s="85">
        <f t="shared" si="67"/>
        <v>13.859383928304215</v>
      </c>
      <c r="AB73" s="85">
        <f t="shared" ref="AB73:AB78" si="70">Z73-AA73</f>
        <v>5.7557130286886249E-2</v>
      </c>
      <c r="AC73" s="84">
        <f t="shared" ref="AC73:AC78" si="71">Y73-X73</f>
        <v>-1.3303427747775133E-2</v>
      </c>
      <c r="AD73" s="86">
        <f t="shared" ref="AD73:AD77" si="72">IF(AC73=0,0,AB73/AC73)</f>
        <v>-4.3264887349436769</v>
      </c>
      <c r="AE73" s="87">
        <f t="shared" ref="AE73:AE78" si="73">-((X73)*AD73)+AA73</f>
        <v>14.04493588318954</v>
      </c>
      <c r="AF73" s="87">
        <f t="shared" ref="AF73:AF78" si="74">IF(OR(AD73&gt;$K$12,AD73&lt;0),0,AD73)</f>
        <v>0</v>
      </c>
      <c r="AG73" s="87">
        <f t="shared" ref="AG73:AG78" si="75">IF(OR(AE73&gt;$K$11,AE73&lt;0),0,AE73)</f>
        <v>14.04493588318954</v>
      </c>
      <c r="AH73" t="str">
        <f t="shared" ref="AH73:AH78" si="76">IF(AF73&gt;0,AF73,"")</f>
        <v/>
      </c>
    </row>
    <row r="74" spans="1:50">
      <c r="W74" s="83" t="s">
        <v>380</v>
      </c>
      <c r="X74" s="84">
        <f t="shared" si="68"/>
        <v>4.2887423555891882E-2</v>
      </c>
      <c r="Y74" s="84">
        <f t="shared" si="69"/>
        <v>3.4869137342136078E-2</v>
      </c>
      <c r="Z74" s="85">
        <f t="shared" si="66"/>
        <v>14.866435173170021</v>
      </c>
      <c r="AA74" s="85">
        <f t="shared" si="67"/>
        <v>13.859383928304215</v>
      </c>
      <c r="AB74" s="85">
        <f t="shared" si="70"/>
        <v>1.0070512448658064</v>
      </c>
      <c r="AC74" s="84">
        <f t="shared" si="71"/>
        <v>-8.0182862137558042E-3</v>
      </c>
      <c r="AD74" s="86">
        <f t="shared" si="72"/>
        <v>-125.59432502398774</v>
      </c>
      <c r="AE74" s="87">
        <f t="shared" si="73"/>
        <v>19.245800941824328</v>
      </c>
      <c r="AF74" s="87">
        <f t="shared" si="74"/>
        <v>0</v>
      </c>
      <c r="AG74" s="87">
        <f t="shared" si="75"/>
        <v>19.245800941824328</v>
      </c>
      <c r="AH74" t="str">
        <f t="shared" si="76"/>
        <v/>
      </c>
    </row>
    <row r="75" spans="1:50">
      <c r="W75" s="83" t="s">
        <v>381</v>
      </c>
      <c r="X75" s="84">
        <f t="shared" si="68"/>
        <v>4.2887423555891882E-2</v>
      </c>
      <c r="Y75" s="84">
        <f t="shared" si="69"/>
        <v>2.7650385085211126E-2</v>
      </c>
      <c r="Z75" s="85">
        <f t="shared" si="66"/>
        <v>19.98167357439328</v>
      </c>
      <c r="AA75" s="85">
        <f t="shared" si="67"/>
        <v>13.859383928304215</v>
      </c>
      <c r="AB75" s="85">
        <f t="shared" si="70"/>
        <v>6.1222896460890652</v>
      </c>
      <c r="AC75" s="84">
        <f t="shared" si="71"/>
        <v>-1.5237038470680756E-2</v>
      </c>
      <c r="AD75" s="86">
        <f t="shared" si="72"/>
        <v>-401.8031232164721</v>
      </c>
      <c r="AE75" s="87">
        <f t="shared" si="73"/>
        <v>31.091684659769268</v>
      </c>
      <c r="AF75" s="87">
        <f t="shared" si="74"/>
        <v>0</v>
      </c>
      <c r="AG75" s="87">
        <f t="shared" si="75"/>
        <v>0</v>
      </c>
      <c r="AH75" t="str">
        <f t="shared" si="76"/>
        <v/>
      </c>
    </row>
    <row r="76" spans="1:50">
      <c r="W76" s="83" t="s">
        <v>382</v>
      </c>
      <c r="X76" s="84">
        <f t="shared" si="68"/>
        <v>4.2887423555891882E-2</v>
      </c>
      <c r="Y76" s="84">
        <f t="shared" si="69"/>
        <v>4.2425755703683045E-2</v>
      </c>
      <c r="Z76" s="85">
        <f t="shared" si="66"/>
        <v>24.547440308588811</v>
      </c>
      <c r="AA76" s="85">
        <f t="shared" si="67"/>
        <v>13.859383928304215</v>
      </c>
      <c r="AB76" s="85">
        <f t="shared" si="70"/>
        <v>10.688056380284596</v>
      </c>
      <c r="AC76" s="84">
        <f t="shared" si="71"/>
        <v>-4.6166785220883716E-4</v>
      </c>
      <c r="AD76" s="86">
        <f t="shared" si="72"/>
        <v>-23150.965199651404</v>
      </c>
      <c r="AE76" s="87">
        <f t="shared" si="73"/>
        <v>1006.744634173467</v>
      </c>
      <c r="AF76" s="87">
        <f t="shared" si="74"/>
        <v>0</v>
      </c>
      <c r="AG76" s="87">
        <f t="shared" si="75"/>
        <v>0</v>
      </c>
      <c r="AH76" t="str">
        <f t="shared" si="76"/>
        <v/>
      </c>
    </row>
    <row r="77" spans="1:50">
      <c r="W77" s="83" t="s">
        <v>383</v>
      </c>
      <c r="X77" s="84">
        <f t="shared" si="68"/>
        <v>4.2887423555891882E-2</v>
      </c>
      <c r="Y77" s="84">
        <f t="shared" si="69"/>
        <v>3.1658261531841765E-2</v>
      </c>
      <c r="Z77" s="85">
        <f t="shared" si="66"/>
        <v>25.734619792288711</v>
      </c>
      <c r="AA77" s="85">
        <f t="shared" si="67"/>
        <v>13.859383928304215</v>
      </c>
      <c r="AB77" s="85">
        <f t="shared" si="70"/>
        <v>11.875235863984496</v>
      </c>
      <c r="AC77" s="84">
        <f t="shared" si="71"/>
        <v>-1.1229162024050117E-2</v>
      </c>
      <c r="AD77" s="86">
        <f t="shared" si="72"/>
        <v>-1057.5353564718941</v>
      </c>
      <c r="AE77" s="87">
        <f t="shared" si="73"/>
        <v>59.214350686645446</v>
      </c>
      <c r="AF77" s="87">
        <f t="shared" si="74"/>
        <v>0</v>
      </c>
      <c r="AG77" s="87">
        <f t="shared" si="75"/>
        <v>0</v>
      </c>
      <c r="AH77" t="str">
        <f t="shared" si="76"/>
        <v/>
      </c>
    </row>
    <row r="78" spans="1:50">
      <c r="W78" s="405" t="s">
        <v>384</v>
      </c>
      <c r="X78" s="406">
        <f>IF($U$33=0,0,$U$33/$V$33)</f>
        <v>3.6702862243295012E-2</v>
      </c>
      <c r="Y78" s="406">
        <f>IF(V34=0,0,U34/V34)</f>
        <v>2.9583995808116749E-2</v>
      </c>
      <c r="Z78" s="407">
        <f>U34</f>
        <v>13.916941058591101</v>
      </c>
      <c r="AA78" s="407">
        <f>$U$33</f>
        <v>12.972056567263753</v>
      </c>
      <c r="AB78" s="407">
        <f t="shared" si="70"/>
        <v>0.94488449132734864</v>
      </c>
      <c r="AC78" s="406">
        <f t="shared" si="71"/>
        <v>-7.118866435178263E-3</v>
      </c>
      <c r="AD78" s="408">
        <f>IF(AC78=0,0,AB78/AC78)</f>
        <v>-132.72962766349301</v>
      </c>
      <c r="AE78" s="409">
        <f t="shared" si="73"/>
        <v>17.843613807000775</v>
      </c>
      <c r="AF78" s="409">
        <f t="shared" si="74"/>
        <v>0</v>
      </c>
      <c r="AG78" s="409">
        <f t="shared" si="75"/>
        <v>17.843613807000775</v>
      </c>
      <c r="AH78" t="str">
        <f t="shared" si="76"/>
        <v/>
      </c>
      <c r="AI78" s="65">
        <f>MIN(AH78:AH82)</f>
        <v>0</v>
      </c>
      <c r="AJ78" s="66">
        <f>MAX(AG78:AG82)</f>
        <v>17.843613807000775</v>
      </c>
      <c r="AK78" s="58" t="str">
        <f>IF(OR(AI78=0,AJ78=0),"",VLOOKUP(AI78,AF78:AG82,2,FALSE))</f>
        <v/>
      </c>
      <c r="AL78" s="57" t="str">
        <f>IF(AJ78=AK78,"ok","fallo")</f>
        <v>fallo</v>
      </c>
      <c r="AM78" s="108" t="str">
        <f>IF($AL$78="ok",IF(AI78&lt;0.5,0.5,AI78),"")</f>
        <v/>
      </c>
      <c r="AN78" s="48" t="str">
        <f>IF($AL$78="ok",AJ78,"")</f>
        <v/>
      </c>
      <c r="AO78" s="108" t="str">
        <f>IF(AM78="","",(AM78*$F$10)+(AN78*$F$9))</f>
        <v/>
      </c>
      <c r="AP78" s="108" t="str">
        <f>AM78</f>
        <v/>
      </c>
      <c r="AQ78" s="48" t="str">
        <f>AN78</f>
        <v/>
      </c>
    </row>
    <row r="79" spans="1:50">
      <c r="W79" s="405" t="s">
        <v>385</v>
      </c>
      <c r="X79" s="406">
        <f t="shared" ref="X79:X82" si="77">IF($U$33=0,0,$U$33/$V$33)</f>
        <v>3.6702862243295012E-2</v>
      </c>
      <c r="Y79" s="406">
        <f t="shared" ref="Y79:Y82" si="78">IF(V35=0,0,U35/V35)</f>
        <v>3.4869137342136078E-2</v>
      </c>
      <c r="Z79" s="407">
        <f>U35</f>
        <v>14.866435173170021</v>
      </c>
      <c r="AA79" s="407">
        <f>$U$33</f>
        <v>12.972056567263753</v>
      </c>
      <c r="AB79" s="407">
        <f t="shared" ref="AB79:AB92" si="79">Z79-AA79</f>
        <v>1.8943786059062688</v>
      </c>
      <c r="AC79" s="406">
        <f t="shared" ref="AC79:AC92" si="80">Y79-X79</f>
        <v>-1.8337249011589341E-3</v>
      </c>
      <c r="AD79" s="408">
        <f t="shared" ref="AD79:AD82" si="81">IF(AC79=0,0,AB79/AC79)</f>
        <v>-1033.0767743345805</v>
      </c>
      <c r="AE79" s="409">
        <f t="shared" ref="AE79:AE92" si="82">-((X79)*AD79)+AA79</f>
        <v>50.888931102413423</v>
      </c>
      <c r="AF79" s="409">
        <f t="shared" ref="AF79:AF92" si="83">IF(OR(AD79&gt;$K$12,AD79&lt;0),0,AD79)</f>
        <v>0</v>
      </c>
      <c r="AG79" s="409">
        <f t="shared" ref="AG79:AG92" si="84">IF(OR(AE79&gt;$K$11,AE79&lt;0),0,AE79)</f>
        <v>0</v>
      </c>
      <c r="AH79" t="str">
        <f t="shared" ref="AH79:AH92" si="85">IF(AF79&gt;0,AF79,"")</f>
        <v/>
      </c>
    </row>
    <row r="80" spans="1:50">
      <c r="W80" s="405" t="s">
        <v>386</v>
      </c>
      <c r="X80" s="406">
        <f t="shared" si="77"/>
        <v>3.6702862243295012E-2</v>
      </c>
      <c r="Y80" s="406">
        <f t="shared" si="78"/>
        <v>2.7650385085211126E-2</v>
      </c>
      <c r="Z80" s="407">
        <f>U36</f>
        <v>19.98167357439328</v>
      </c>
      <c r="AA80" s="407">
        <f>$U$33</f>
        <v>12.972056567263753</v>
      </c>
      <c r="AB80" s="407">
        <f t="shared" si="79"/>
        <v>7.0096170071295276</v>
      </c>
      <c r="AC80" s="406">
        <f t="shared" si="80"/>
        <v>-9.052477158083886E-3</v>
      </c>
      <c r="AD80" s="408">
        <f t="shared" si="81"/>
        <v>-774.33136640062344</v>
      </c>
      <c r="AE80" s="409">
        <f t="shared" si="82"/>
        <v>41.39223403892823</v>
      </c>
      <c r="AF80" s="409">
        <f t="shared" si="83"/>
        <v>0</v>
      </c>
      <c r="AG80" s="409">
        <f t="shared" si="84"/>
        <v>0</v>
      </c>
      <c r="AH80" t="str">
        <f t="shared" si="85"/>
        <v/>
      </c>
    </row>
    <row r="81" spans="22:43">
      <c r="W81" s="405" t="s">
        <v>387</v>
      </c>
      <c r="X81" s="406">
        <f t="shared" si="77"/>
        <v>3.6702862243295012E-2</v>
      </c>
      <c r="Y81" s="406">
        <f t="shared" si="78"/>
        <v>4.2425755703683045E-2</v>
      </c>
      <c r="Z81" s="407">
        <f>U37</f>
        <v>24.547440308588811</v>
      </c>
      <c r="AA81" s="407">
        <f>$U$33</f>
        <v>12.972056567263753</v>
      </c>
      <c r="AB81" s="407">
        <f t="shared" si="79"/>
        <v>11.575383741325059</v>
      </c>
      <c r="AC81" s="406">
        <f t="shared" si="80"/>
        <v>5.722893460388033E-3</v>
      </c>
      <c r="AD81" s="408">
        <f t="shared" si="81"/>
        <v>2022.6453316746185</v>
      </c>
      <c r="AE81" s="409">
        <f t="shared" si="82"/>
        <v>-61.264816408233528</v>
      </c>
      <c r="AF81" s="409">
        <f t="shared" si="83"/>
        <v>0</v>
      </c>
      <c r="AG81" s="409">
        <f t="shared" si="84"/>
        <v>0</v>
      </c>
      <c r="AH81" t="str">
        <f t="shared" si="85"/>
        <v/>
      </c>
    </row>
    <row r="82" spans="22:43">
      <c r="W82" s="405" t="s">
        <v>388</v>
      </c>
      <c r="X82" s="406">
        <f t="shared" si="77"/>
        <v>3.6702862243295012E-2</v>
      </c>
      <c r="Y82" s="406">
        <f t="shared" si="78"/>
        <v>3.1658261531841765E-2</v>
      </c>
      <c r="Z82" s="407">
        <f>U38</f>
        <v>25.734619792288711</v>
      </c>
      <c r="AA82" s="407">
        <f>$U$33</f>
        <v>12.972056567263753</v>
      </c>
      <c r="AB82" s="407">
        <f t="shared" si="79"/>
        <v>12.762563225024959</v>
      </c>
      <c r="AC82" s="406">
        <f t="shared" si="80"/>
        <v>-5.0446007114532468E-3</v>
      </c>
      <c r="AD82" s="408">
        <f t="shared" si="81"/>
        <v>-2529.9451740647924</v>
      </c>
      <c r="AE82" s="409">
        <f t="shared" si="82"/>
        <v>105.82828577405284</v>
      </c>
      <c r="AF82" s="409">
        <f t="shared" si="83"/>
        <v>0</v>
      </c>
      <c r="AG82" s="409">
        <f t="shared" si="84"/>
        <v>0</v>
      </c>
      <c r="AH82" t="str">
        <f t="shared" si="85"/>
        <v/>
      </c>
    </row>
    <row r="83" spans="22:43">
      <c r="W83" s="88" t="s">
        <v>389</v>
      </c>
      <c r="X83" s="89">
        <f>IF($U$34=0,0,$U$34/$V$34)</f>
        <v>2.9583995808116749E-2</v>
      </c>
      <c r="Y83" s="89">
        <f>IF(V35=0,0,U35/V35)</f>
        <v>3.4869137342136078E-2</v>
      </c>
      <c r="Z83" s="90">
        <f>U35</f>
        <v>14.866435173170021</v>
      </c>
      <c r="AA83" s="90">
        <f>$U$34</f>
        <v>13.916941058591101</v>
      </c>
      <c r="AB83" s="90">
        <f t="shared" si="79"/>
        <v>0.94949411457892019</v>
      </c>
      <c r="AC83" s="89">
        <f t="shared" si="80"/>
        <v>5.2851415340193289E-3</v>
      </c>
      <c r="AD83" s="91">
        <f>IF(AC83=0,0,AB83/AC83)</f>
        <v>179.65348864684685</v>
      </c>
      <c r="AE83" s="92">
        <f t="shared" si="82"/>
        <v>8.6020730035492328</v>
      </c>
      <c r="AF83" s="92">
        <f t="shared" si="83"/>
        <v>179.65348864684685</v>
      </c>
      <c r="AG83" s="92">
        <f t="shared" si="84"/>
        <v>8.6020730035492328</v>
      </c>
      <c r="AH83">
        <f t="shared" si="85"/>
        <v>179.65348864684685</v>
      </c>
      <c r="AI83" s="65">
        <f>MIN(AH83:AH86)</f>
        <v>179.65348864684685</v>
      </c>
      <c r="AJ83" s="66">
        <f>MAX(AG83:AG86)</f>
        <v>8.6020730035492328</v>
      </c>
      <c r="AK83" s="58">
        <f>IF(OR(AI83=0,AJ83=0),"",VLOOKUP(AI83,AF83:AG86,2,FALSE))</f>
        <v>8.6020730035492328</v>
      </c>
      <c r="AL83" s="57" t="str">
        <f>IF(AJ83=AK83,"ok","fallo")</f>
        <v>ok</v>
      </c>
      <c r="AM83" s="108">
        <f>IF($AL$83="ok",IF(AI83&lt;0.5,0.5,AI83),"")</f>
        <v>179.65348864684685</v>
      </c>
      <c r="AN83" s="48">
        <f>IF($AL$83="ok",AJ83,"")</f>
        <v>8.6020730035492328</v>
      </c>
      <c r="AO83" s="108">
        <f>IF(AM83="","",(AM83*$F$10)+(AN83*$F$9))</f>
        <v>110570.72397471029</v>
      </c>
      <c r="AP83" s="108">
        <f>AM83</f>
        <v>179.65348864684685</v>
      </c>
      <c r="AQ83" s="48">
        <f>AN83</f>
        <v>8.6020730035492328</v>
      </c>
    </row>
    <row r="84" spans="22:43">
      <c r="W84" s="88" t="s">
        <v>390</v>
      </c>
      <c r="X84" s="89">
        <f t="shared" ref="X84:X86" si="86">IF($U$34=0,0,$U$34/$V$34)</f>
        <v>2.9583995808116749E-2</v>
      </c>
      <c r="Y84" s="89">
        <f t="shared" ref="Y84:Y86" si="87">IF(V36=0,0,U36/V36)</f>
        <v>2.7650385085211126E-2</v>
      </c>
      <c r="Z84" s="90">
        <f>U36</f>
        <v>19.98167357439328</v>
      </c>
      <c r="AA84" s="90">
        <f>$U$34</f>
        <v>13.916941058591101</v>
      </c>
      <c r="AB84" s="90">
        <f t="shared" si="79"/>
        <v>6.064732515802179</v>
      </c>
      <c r="AC84" s="89">
        <f t="shared" si="80"/>
        <v>-1.9336107229056231E-3</v>
      </c>
      <c r="AD84" s="91">
        <f t="shared" ref="AD84:AD86" si="88">IF(AC84=0,0,AB84/AC84)</f>
        <v>-3136.4805976503631</v>
      </c>
      <c r="AE84" s="92">
        <f t="shared" si="82"/>
        <v>106.70656991171896</v>
      </c>
      <c r="AF84" s="92">
        <f t="shared" si="83"/>
        <v>0</v>
      </c>
      <c r="AG84" s="92">
        <f t="shared" si="84"/>
        <v>0</v>
      </c>
      <c r="AH84" t="str">
        <f t="shared" si="85"/>
        <v/>
      </c>
    </row>
    <row r="85" spans="22:43">
      <c r="W85" s="88" t="s">
        <v>391</v>
      </c>
      <c r="X85" s="89">
        <f t="shared" si="86"/>
        <v>2.9583995808116749E-2</v>
      </c>
      <c r="Y85" s="89">
        <f t="shared" si="87"/>
        <v>4.2425755703683045E-2</v>
      </c>
      <c r="Z85" s="90">
        <f>U37</f>
        <v>24.547440308588811</v>
      </c>
      <c r="AA85" s="90">
        <f>$U$34</f>
        <v>13.916941058591101</v>
      </c>
      <c r="AB85" s="90">
        <f t="shared" si="79"/>
        <v>10.63049924999771</v>
      </c>
      <c r="AC85" s="89">
        <f t="shared" si="80"/>
        <v>1.2841759895566296E-2</v>
      </c>
      <c r="AD85" s="91">
        <f t="shared" si="88"/>
        <v>827.8070401914274</v>
      </c>
      <c r="AE85" s="92">
        <f t="shared" si="82"/>
        <v>-10.572898948361621</v>
      </c>
      <c r="AF85" s="92">
        <f t="shared" si="83"/>
        <v>0</v>
      </c>
      <c r="AG85" s="92">
        <f t="shared" si="84"/>
        <v>0</v>
      </c>
      <c r="AH85" t="str">
        <f t="shared" si="85"/>
        <v/>
      </c>
    </row>
    <row r="86" spans="22:43">
      <c r="W86" s="88" t="s">
        <v>392</v>
      </c>
      <c r="X86" s="89">
        <f t="shared" si="86"/>
        <v>2.9583995808116749E-2</v>
      </c>
      <c r="Y86" s="89">
        <f t="shared" si="87"/>
        <v>3.1658261531841765E-2</v>
      </c>
      <c r="Z86" s="90">
        <f>U38</f>
        <v>25.734619792288711</v>
      </c>
      <c r="AA86" s="90">
        <f>$U$34</f>
        <v>13.916941058591101</v>
      </c>
      <c r="AB86" s="90">
        <f t="shared" si="79"/>
        <v>11.81767873369761</v>
      </c>
      <c r="AC86" s="89">
        <f t="shared" si="80"/>
        <v>2.0742657237250162E-3</v>
      </c>
      <c r="AD86" s="91">
        <f t="shared" si="88"/>
        <v>5697.2829462153668</v>
      </c>
      <c r="AE86" s="92">
        <f t="shared" si="82"/>
        <v>-154.63145373989934</v>
      </c>
      <c r="AF86" s="92">
        <f t="shared" si="83"/>
        <v>0</v>
      </c>
      <c r="AG86" s="92">
        <f t="shared" si="84"/>
        <v>0</v>
      </c>
      <c r="AH86" t="str">
        <f t="shared" si="85"/>
        <v/>
      </c>
    </row>
    <row r="87" spans="22:43">
      <c r="W87" s="93" t="s">
        <v>393</v>
      </c>
      <c r="X87" s="94">
        <f>IF($U$35=0,0,$U$35/$V$35)</f>
        <v>3.4869137342136078E-2</v>
      </c>
      <c r="Y87" s="94">
        <f>IF(V36=0,0,U36/V36)</f>
        <v>2.7650385085211126E-2</v>
      </c>
      <c r="Z87" s="95">
        <f>U36</f>
        <v>19.98167357439328</v>
      </c>
      <c r="AA87" s="95">
        <f>$U$35</f>
        <v>14.866435173170021</v>
      </c>
      <c r="AB87" s="95">
        <f t="shared" si="79"/>
        <v>5.1152384012232588</v>
      </c>
      <c r="AC87" s="94">
        <f t="shared" si="80"/>
        <v>-7.218752256924952E-3</v>
      </c>
      <c r="AD87" s="96">
        <f>IF(AC87=0,0,AB87/AC87)</f>
        <v>-708.60423230568813</v>
      </c>
      <c r="AE87" s="66">
        <f t="shared" si="82"/>
        <v>39.57485347065596</v>
      </c>
      <c r="AF87" s="66">
        <f t="shared" si="83"/>
        <v>0</v>
      </c>
      <c r="AG87" s="66">
        <f t="shared" si="84"/>
        <v>0</v>
      </c>
      <c r="AH87" t="str">
        <f t="shared" si="85"/>
        <v/>
      </c>
      <c r="AI87" s="65">
        <f>MIN(AH87:AH89)</f>
        <v>0</v>
      </c>
      <c r="AJ87" s="66">
        <f>MAX(AG87:AG89)</f>
        <v>0</v>
      </c>
      <c r="AK87" s="58" t="str">
        <f>IF(OR(AI87=0,AJ87=0),"",VLOOKUP(AI87,AF87:AG89,2,FALSE))</f>
        <v/>
      </c>
      <c r="AL87" s="57" t="str">
        <f>IF(AJ87=AK87,"ok","fallo")</f>
        <v>fallo</v>
      </c>
      <c r="AM87" s="108" t="str">
        <f>IF($AL$87="ok",IF(AI87&lt;0.5,0.5,AI87),"")</f>
        <v/>
      </c>
      <c r="AN87" s="48" t="str">
        <f>IF($AL$87="ok",AJ87,"")</f>
        <v/>
      </c>
      <c r="AO87" s="108" t="str">
        <f>IF(AM87="","",(AM87*$F$10)+(AN87*$F$9))</f>
        <v/>
      </c>
      <c r="AP87" s="108" t="str">
        <f>AM87</f>
        <v/>
      </c>
      <c r="AQ87" s="48" t="str">
        <f>AN87</f>
        <v/>
      </c>
    </row>
    <row r="88" spans="22:43">
      <c r="W88" s="93" t="s">
        <v>394</v>
      </c>
      <c r="X88" s="94">
        <f t="shared" ref="X88:X89" si="89">IF($U$35=0,0,$U$35/$V$35)</f>
        <v>3.4869137342136078E-2</v>
      </c>
      <c r="Y88" s="94">
        <f t="shared" ref="Y88:Y89" si="90">IF(V37=0,0,U37/V37)</f>
        <v>4.2425755703683045E-2</v>
      </c>
      <c r="Z88" s="95">
        <f>U37</f>
        <v>24.547440308588811</v>
      </c>
      <c r="AA88" s="95">
        <f>$U$35</f>
        <v>14.866435173170021</v>
      </c>
      <c r="AB88" s="95">
        <f t="shared" si="79"/>
        <v>9.6810051354187898</v>
      </c>
      <c r="AC88" s="94">
        <f t="shared" si="80"/>
        <v>7.556618361546967E-3</v>
      </c>
      <c r="AD88" s="96">
        <f t="shared" ref="AD88:AD89" si="91">IF(AC88=0,0,AB88/AC88)</f>
        <v>1281.1292925261512</v>
      </c>
      <c r="AE88" s="66">
        <f t="shared" si="82"/>
        <v>-29.805438080957973</v>
      </c>
      <c r="AF88" s="66">
        <f t="shared" si="83"/>
        <v>0</v>
      </c>
      <c r="AG88" s="66">
        <f t="shared" si="84"/>
        <v>0</v>
      </c>
      <c r="AH88" t="str">
        <f t="shared" si="85"/>
        <v/>
      </c>
    </row>
    <row r="89" spans="22:43">
      <c r="W89" s="93" t="s">
        <v>395</v>
      </c>
      <c r="X89" s="94">
        <f t="shared" si="89"/>
        <v>3.4869137342136078E-2</v>
      </c>
      <c r="Y89" s="94">
        <f t="shared" si="90"/>
        <v>3.1658261531841765E-2</v>
      </c>
      <c r="Z89" s="95">
        <f>U38</f>
        <v>25.734619792288711</v>
      </c>
      <c r="AA89" s="95">
        <f>$U$35</f>
        <v>14.866435173170021</v>
      </c>
      <c r="AB89" s="95">
        <f t="shared" si="79"/>
        <v>10.86818461911869</v>
      </c>
      <c r="AC89" s="94">
        <f t="shared" si="80"/>
        <v>-3.2108758102943127E-3</v>
      </c>
      <c r="AD89" s="96">
        <f t="shared" si="91"/>
        <v>-3384.8037922471062</v>
      </c>
      <c r="AE89" s="66">
        <f t="shared" si="82"/>
        <v>132.89162348121741</v>
      </c>
      <c r="AF89" s="66">
        <f t="shared" si="83"/>
        <v>0</v>
      </c>
      <c r="AG89" s="66">
        <f t="shared" si="84"/>
        <v>0</v>
      </c>
      <c r="AH89" t="str">
        <f t="shared" si="85"/>
        <v/>
      </c>
    </row>
    <row r="90" spans="22:43">
      <c r="W90" s="97" t="s">
        <v>396</v>
      </c>
      <c r="X90" s="100">
        <f>IF($U$36=0,0,$U$36/$V$36)</f>
        <v>2.7650385085211126E-2</v>
      </c>
      <c r="Y90" s="100">
        <f>IF(V37=0,0,U37/V37)</f>
        <v>4.2425755703683045E-2</v>
      </c>
      <c r="Z90" s="99">
        <f>U37</f>
        <v>24.547440308588811</v>
      </c>
      <c r="AA90" s="99">
        <f>$U$36</f>
        <v>19.98167357439328</v>
      </c>
      <c r="AB90" s="99">
        <f t="shared" si="79"/>
        <v>4.565766734195531</v>
      </c>
      <c r="AC90" s="100">
        <f t="shared" si="80"/>
        <v>1.4775370618471919E-2</v>
      </c>
      <c r="AD90" s="101">
        <f>IF(AC90=0,0,AB90/AC90)</f>
        <v>309.01199381675656</v>
      </c>
      <c r="AE90" s="98">
        <f t="shared" si="82"/>
        <v>11.437372949411083</v>
      </c>
      <c r="AF90" s="98">
        <f t="shared" si="83"/>
        <v>309.01199381675656</v>
      </c>
      <c r="AG90" s="98">
        <f t="shared" si="84"/>
        <v>11.437372949411083</v>
      </c>
      <c r="AH90">
        <f t="shared" si="85"/>
        <v>309.01199381675656</v>
      </c>
      <c r="AI90" s="65">
        <f>MIN(AH90:AH91)</f>
        <v>309.01199381675656</v>
      </c>
      <c r="AJ90" s="66">
        <f>MAX(AG90:AG91)</f>
        <v>11.437372949411083</v>
      </c>
      <c r="AK90" s="58">
        <f>IF(OR(AI90=0,AJ90=0),"",VLOOKUP(AI90,AF90:AG91,2,FALSE))</f>
        <v>11.437372949411083</v>
      </c>
      <c r="AL90" s="57" t="str">
        <f>IF(AJ90=AK90,"ok","fallo")</f>
        <v>ok</v>
      </c>
      <c r="AM90" s="108">
        <f>IF($AL$90="ok",IF(AI90&lt;0.5,0.5,AI90),"")</f>
        <v>309.01199381675656</v>
      </c>
      <c r="AN90" s="48">
        <f>IF($AL$90="ok",AJ90,"")</f>
        <v>11.437372949411083</v>
      </c>
      <c r="AO90" s="108">
        <f>IF(AM90="","",(AM90*$F$10)+(AN90*$F$9))</f>
        <v>175072.97579905251</v>
      </c>
      <c r="AP90" s="108">
        <f>AM90</f>
        <v>309.01199381675656</v>
      </c>
      <c r="AQ90" s="48">
        <f>AN90</f>
        <v>11.437372949411083</v>
      </c>
    </row>
    <row r="91" spans="22:43">
      <c r="W91" s="97" t="s">
        <v>397</v>
      </c>
      <c r="X91" s="100">
        <f>IF($U$36=0,0,$U$36/$V$36)</f>
        <v>2.7650385085211126E-2</v>
      </c>
      <c r="Y91" s="100">
        <f>IF(V38=0,0,U38/V38)</f>
        <v>3.1658261531841765E-2</v>
      </c>
      <c r="Z91" s="99">
        <f>U38</f>
        <v>25.734619792288711</v>
      </c>
      <c r="AA91" s="99">
        <f>$U$36</f>
        <v>19.98167357439328</v>
      </c>
      <c r="AB91" s="99">
        <f t="shared" si="79"/>
        <v>5.7529462178954311</v>
      </c>
      <c r="AC91" s="100">
        <f t="shared" si="80"/>
        <v>4.0078764466306392E-3</v>
      </c>
      <c r="AD91" s="101">
        <f>IF(AC91=0,0,AB91/AC91)</f>
        <v>1435.4100717680171</v>
      </c>
      <c r="AE91" s="98">
        <f t="shared" si="82"/>
        <v>-19.707967665182931</v>
      </c>
      <c r="AF91" s="98">
        <f t="shared" si="83"/>
        <v>0</v>
      </c>
      <c r="AG91" s="98">
        <f t="shared" si="84"/>
        <v>0</v>
      </c>
      <c r="AH91" t="str">
        <f t="shared" si="85"/>
        <v/>
      </c>
    </row>
    <row r="92" spans="22:43">
      <c r="W92" s="102" t="s">
        <v>398</v>
      </c>
      <c r="X92" s="103">
        <f>IF(U37=0,0,U37/V37)</f>
        <v>4.2425755703683045E-2</v>
      </c>
      <c r="Y92" s="103">
        <f>IF(V38=0,0,U38/V38)</f>
        <v>3.1658261531841765E-2</v>
      </c>
      <c r="Z92" s="104">
        <f>U38</f>
        <v>25.734619792288711</v>
      </c>
      <c r="AA92" s="104">
        <f>$U$37</f>
        <v>24.547440308588811</v>
      </c>
      <c r="AB92" s="104">
        <f t="shared" si="79"/>
        <v>1.1871794836999001</v>
      </c>
      <c r="AC92" s="105">
        <f t="shared" si="80"/>
        <v>-1.076749417184128E-2</v>
      </c>
      <c r="AD92" s="106">
        <f>IF(AC92=0,0,AB92/AC92)</f>
        <v>-110.2558742780251</v>
      </c>
      <c r="AE92" s="103">
        <f t="shared" si="82"/>
        <v>29.225129095604295</v>
      </c>
      <c r="AF92" s="103">
        <f t="shared" si="83"/>
        <v>0</v>
      </c>
      <c r="AG92" s="103">
        <f t="shared" si="84"/>
        <v>0</v>
      </c>
      <c r="AH92" t="str">
        <f t="shared" si="85"/>
        <v/>
      </c>
      <c r="AI92" s="65">
        <f>MIN(AH92)</f>
        <v>0</v>
      </c>
      <c r="AJ92" s="66">
        <f>MAX(AG92)</f>
        <v>0</v>
      </c>
      <c r="AK92" s="58" t="str">
        <f>IF(OR(AI92=0,AJ92=0),"",VLOOKUP(AI92,AF92:AG92,2,FALSE))</f>
        <v/>
      </c>
      <c r="AL92" s="57" t="str">
        <f>IF(AJ92=AK92,"ok","fallo")</f>
        <v>fallo</v>
      </c>
      <c r="AM92" s="108" t="str">
        <f>IF($AL$92="ok",IF(AI92&lt;0.5,0.5,AI92),"")</f>
        <v/>
      </c>
      <c r="AN92" s="48" t="str">
        <f>IF($AL$92="ok",AJ92,"")</f>
        <v/>
      </c>
      <c r="AO92" s="108" t="str">
        <f>IF(AM92="","",(AM92*$F$10)+(AN92*$F$9))</f>
        <v/>
      </c>
      <c r="AP92" s="108" t="str">
        <f>AM92</f>
        <v/>
      </c>
      <c r="AQ92" s="48" t="str">
        <f>AN92</f>
        <v/>
      </c>
    </row>
    <row r="95" spans="22:43">
      <c r="V95" s="49">
        <f>'Intensidad y Ángulo incli.'!H23</f>
        <v>34</v>
      </c>
      <c r="W95" s="48">
        <f>'Intensidad y Ángulo incli.'!G25</f>
        <v>4.1042583365239427</v>
      </c>
    </row>
    <row r="96" spans="22:43">
      <c r="W96" s="48">
        <f>'Intensidad y Ángulo incli.'!G26</f>
        <v>4.4599573453200128</v>
      </c>
    </row>
    <row r="97" spans="23:23">
      <c r="W97" s="48">
        <f>'Intensidad y Ángulo incli.'!G27</f>
        <v>5.8322998456700654</v>
      </c>
    </row>
    <row r="98" spans="23:23">
      <c r="W98" s="48">
        <f>'Intensidad y Ángulo incli.'!G28</f>
        <v>5.6942881844020521</v>
      </c>
    </row>
    <row r="99" spans="23:23">
      <c r="W99" s="48">
        <f>'Intensidad y Ángulo incli.'!G29</f>
        <v>6.4217455700668129</v>
      </c>
    </row>
    <row r="100" spans="23:23">
      <c r="W100" s="48">
        <f>'Intensidad y Ángulo incli.'!G30</f>
        <v>6.6919389470556254</v>
      </c>
    </row>
    <row r="101" spans="23:23">
      <c r="W101" s="48">
        <f>'Intensidad y Ángulo incli.'!G31</f>
        <v>7.1496875311251502</v>
      </c>
    </row>
    <row r="102" spans="23:23">
      <c r="W102" s="48">
        <f>'Intensidad y Ángulo incli.'!G32</f>
        <v>6.6642626926096238</v>
      </c>
    </row>
    <row r="103" spans="23:23">
      <c r="W103" s="48">
        <f>'Intensidad y Ángulo incli.'!G33</f>
        <v>6.2386274861237752</v>
      </c>
    </row>
    <row r="104" spans="23:23">
      <c r="W104" s="48">
        <f>'Intensidad y Ángulo incli.'!G34</f>
        <v>4.6415607154583345</v>
      </c>
    </row>
    <row r="105" spans="23:23">
      <c r="W105" s="48">
        <f>'Intensidad y Ángulo incli.'!G35</f>
        <v>3.778241231105679</v>
      </c>
    </row>
    <row r="106" spans="23:23">
      <c r="W106" s="48">
        <f>'Intensidad y Ángulo incli.'!G36</f>
        <v>3.6039448742820293</v>
      </c>
    </row>
  </sheetData>
  <sheetProtection insertColumns="0" insertRows="0"/>
  <mergeCells count="40">
    <mergeCell ref="M8:N8"/>
    <mergeCell ref="E2:H2"/>
    <mergeCell ref="L2:O2"/>
    <mergeCell ref="E4:H4"/>
    <mergeCell ref="L4:O4"/>
    <mergeCell ref="I23:I24"/>
    <mergeCell ref="L23:L24"/>
    <mergeCell ref="M23:M24"/>
    <mergeCell ref="D7:E7"/>
    <mergeCell ref="I11:J11"/>
    <mergeCell ref="L11:L12"/>
    <mergeCell ref="I12:J12"/>
    <mergeCell ref="I8:J8"/>
    <mergeCell ref="I10:K10"/>
    <mergeCell ref="D8:E8"/>
    <mergeCell ref="I7:J7"/>
    <mergeCell ref="D9:E9"/>
    <mergeCell ref="D10:E10"/>
    <mergeCell ref="I20:I21"/>
    <mergeCell ref="M20:M21"/>
    <mergeCell ref="M7:N7"/>
    <mergeCell ref="L36:L37"/>
    <mergeCell ref="O26:O27"/>
    <mergeCell ref="O28:O29"/>
    <mergeCell ref="O30:O31"/>
    <mergeCell ref="O32:O33"/>
    <mergeCell ref="O34:O35"/>
    <mergeCell ref="O36:O37"/>
    <mergeCell ref="L26:L27"/>
    <mergeCell ref="L28:L29"/>
    <mergeCell ref="L30:L31"/>
    <mergeCell ref="L32:L33"/>
    <mergeCell ref="L34:L35"/>
    <mergeCell ref="L20:L21"/>
    <mergeCell ref="M14:M15"/>
    <mergeCell ref="I17:I18"/>
    <mergeCell ref="M17:M18"/>
    <mergeCell ref="L14:L15"/>
    <mergeCell ref="L17:L18"/>
    <mergeCell ref="I14:I15"/>
  </mergeCells>
  <phoneticPr fontId="12" type="noConversion"/>
  <printOptions horizontalCentered="1" verticalCentered="1"/>
  <pageMargins left="0" right="0" top="0" bottom="0" header="0" footer="0"/>
  <pageSetup paperSize="9" scale="96" orientation="landscape" horizontalDpi="200" verticalDpi="200" r:id="rId1"/>
  <headerFooter alignWithMargins="0"/>
  <cellWatches>
    <cellWatch r="W33"/>
  </cellWatches>
  <ignoredErrors>
    <ignoredError sqref="X11" evalError="1"/>
  </ignoredError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11">
    <outlinePr summaryBelow="0"/>
    <pageSetUpPr fitToPage="1"/>
  </sheetPr>
  <dimension ref="A1:Z81"/>
  <sheetViews>
    <sheetView showGridLines="0" zoomScale="80" zoomScaleNormal="80" workbookViewId="0">
      <selection activeCell="L9" sqref="L9"/>
    </sheetView>
  </sheetViews>
  <sheetFormatPr baseColWidth="10" defaultRowHeight="12.75"/>
  <cols>
    <col min="1" max="1" width="6.7109375" customWidth="1"/>
    <col min="2" max="2" width="8.7109375" customWidth="1"/>
    <col min="3" max="3" width="25.140625" customWidth="1"/>
    <col min="4" max="4" width="12.85546875" customWidth="1"/>
    <col min="5" max="5" width="15.85546875" customWidth="1"/>
    <col min="6" max="6" width="5.42578125" hidden="1" customWidth="1"/>
    <col min="7" max="7" width="13.85546875" customWidth="1"/>
    <col min="8" max="8" width="5" hidden="1" customWidth="1"/>
    <col min="9" max="9" width="19.7109375" customWidth="1"/>
    <col min="10" max="10" width="14.7109375" customWidth="1"/>
    <col min="11" max="11" width="0.85546875" customWidth="1"/>
    <col min="12" max="12" width="17.5703125" customWidth="1"/>
    <col min="13" max="13" width="12.7109375" customWidth="1"/>
    <col min="14" max="14" width="14.140625" customWidth="1"/>
    <col min="15" max="15" width="12.5703125" customWidth="1"/>
  </cols>
  <sheetData>
    <row r="1" spans="1:26">
      <c r="A1" s="272"/>
      <c r="B1" s="480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8"/>
      <c r="V1" s="233"/>
      <c r="W1" s="233"/>
      <c r="X1" s="233"/>
      <c r="Y1" s="233"/>
      <c r="Z1" s="233"/>
    </row>
    <row r="2" spans="1:26">
      <c r="A2" s="272"/>
      <c r="B2" s="238"/>
      <c r="C2" s="238" t="s">
        <v>198</v>
      </c>
      <c r="D2" s="603" t="str">
        <f>'Cálculo de consumo'!E2</f>
        <v>Prueba</v>
      </c>
      <c r="E2" s="603"/>
      <c r="F2" s="603"/>
      <c r="G2" s="603"/>
      <c r="H2" s="238" t="s">
        <v>50</v>
      </c>
      <c r="I2" s="324" t="s">
        <v>50</v>
      </c>
      <c r="J2" s="238"/>
      <c r="K2" s="238"/>
      <c r="L2" s="603" t="str">
        <f>'Cálculo de consumo'!J2</f>
        <v>Prueba</v>
      </c>
      <c r="M2" s="603"/>
      <c r="N2" s="603"/>
      <c r="O2" s="603"/>
      <c r="P2" s="238"/>
      <c r="Q2" s="238"/>
      <c r="R2" s="238"/>
      <c r="S2" s="238"/>
      <c r="T2" s="238"/>
      <c r="U2" s="272"/>
      <c r="V2" s="233"/>
      <c r="W2" s="233"/>
      <c r="X2" s="233"/>
      <c r="Y2" s="233"/>
      <c r="Z2" s="233"/>
    </row>
    <row r="3" spans="1:26">
      <c r="A3" s="272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72"/>
      <c r="V3" s="233"/>
      <c r="W3" s="233"/>
      <c r="X3" s="233"/>
      <c r="Y3" s="233"/>
      <c r="Z3" s="233"/>
    </row>
    <row r="4" spans="1:26">
      <c r="A4" s="272"/>
      <c r="B4" s="238"/>
      <c r="C4" s="238" t="s">
        <v>51</v>
      </c>
      <c r="D4" s="603" t="str">
        <f>'Cálculo de consumo'!E4</f>
        <v>Prueba</v>
      </c>
      <c r="E4" s="603"/>
      <c r="F4" s="603"/>
      <c r="G4" s="603"/>
      <c r="H4" s="238" t="s">
        <v>52</v>
      </c>
      <c r="I4" s="324" t="s">
        <v>52</v>
      </c>
      <c r="J4" s="238"/>
      <c r="K4" s="238"/>
      <c r="L4" s="605" t="str">
        <f>'Cálculo de consumo'!J4</f>
        <v>Prueba</v>
      </c>
      <c r="M4" s="603"/>
      <c r="N4" s="603"/>
      <c r="O4" s="603"/>
      <c r="P4" s="238"/>
      <c r="Q4" s="238"/>
      <c r="R4" s="238"/>
      <c r="S4" s="238"/>
      <c r="T4" s="238"/>
      <c r="U4" s="272"/>
      <c r="V4" s="233"/>
      <c r="W4" s="233"/>
      <c r="X4" s="233"/>
      <c r="Y4" s="233"/>
      <c r="Z4" s="233"/>
    </row>
    <row r="5" spans="1:26" ht="20.25">
      <c r="A5" s="272"/>
      <c r="B5" s="238"/>
      <c r="C5" s="322" t="s">
        <v>265</v>
      </c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72"/>
      <c r="V5" s="233"/>
      <c r="W5" s="233"/>
      <c r="X5" s="233"/>
      <c r="Y5" s="233"/>
      <c r="Z5" s="233"/>
    </row>
    <row r="6" spans="1:26">
      <c r="A6" s="272"/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72"/>
      <c r="V6" s="233"/>
      <c r="W6" s="233"/>
      <c r="X6" s="233"/>
      <c r="Y6" s="233"/>
      <c r="Z6" s="233"/>
    </row>
    <row r="7" spans="1:26" ht="19.5" thickBot="1">
      <c r="A7" s="272"/>
      <c r="B7" s="238"/>
      <c r="C7" s="473" t="s">
        <v>290</v>
      </c>
      <c r="D7" s="238"/>
      <c r="E7" s="706" t="s">
        <v>292</v>
      </c>
      <c r="F7" s="706"/>
      <c r="G7" s="706"/>
      <c r="H7" s="706"/>
      <c r="I7" s="706"/>
      <c r="J7" s="706"/>
      <c r="K7" s="238"/>
      <c r="L7" s="238"/>
      <c r="M7" s="238"/>
      <c r="N7" s="238"/>
      <c r="O7" s="238"/>
      <c r="P7" s="238"/>
      <c r="Q7" s="238"/>
      <c r="R7" s="238"/>
      <c r="S7" s="238"/>
      <c r="T7" s="238"/>
      <c r="U7" s="272"/>
      <c r="V7" s="233"/>
      <c r="W7" s="233"/>
      <c r="X7" s="233"/>
      <c r="Y7" s="233"/>
      <c r="Z7" s="233"/>
    </row>
    <row r="8" spans="1:26" ht="19.5" thickBot="1">
      <c r="A8" s="272"/>
      <c r="B8" s="238"/>
      <c r="C8" s="598" t="s">
        <v>266</v>
      </c>
      <c r="D8" s="600"/>
      <c r="E8" s="293">
        <v>20</v>
      </c>
      <c r="F8" s="460"/>
      <c r="G8" s="598" t="s">
        <v>268</v>
      </c>
      <c r="H8" s="599"/>
      <c r="I8" s="600"/>
      <c r="J8" s="428">
        <v>0.03</v>
      </c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272"/>
      <c r="V8" s="233"/>
      <c r="W8" s="233"/>
      <c r="X8" s="233"/>
      <c r="Y8" s="233"/>
      <c r="Z8" s="233"/>
    </row>
    <row r="9" spans="1:26" ht="19.5" thickBot="1">
      <c r="A9" s="272"/>
      <c r="B9" s="238"/>
      <c r="C9" s="598" t="s">
        <v>267</v>
      </c>
      <c r="D9" s="600"/>
      <c r="E9" s="428">
        <v>0.06</v>
      </c>
      <c r="F9" s="460"/>
      <c r="G9" s="699" t="s">
        <v>269</v>
      </c>
      <c r="H9" s="700"/>
      <c r="I9" s="701"/>
      <c r="J9" s="428">
        <v>0.05</v>
      </c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72"/>
      <c r="V9" s="233"/>
      <c r="W9" s="233"/>
      <c r="X9" s="233"/>
      <c r="Y9" s="233"/>
      <c r="Z9" s="233"/>
    </row>
    <row r="10" spans="1:26" ht="4.5" customHeight="1" thickBot="1">
      <c r="A10" s="272"/>
      <c r="B10" s="238"/>
      <c r="C10" s="448"/>
      <c r="D10" s="41"/>
      <c r="E10" s="41"/>
      <c r="F10" s="461"/>
      <c r="G10" s="41"/>
      <c r="H10" s="41"/>
      <c r="I10" s="41"/>
      <c r="J10" s="41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72"/>
      <c r="V10" s="233"/>
      <c r="W10" s="233"/>
      <c r="X10" s="233"/>
      <c r="Y10" s="233"/>
      <c r="Z10" s="233"/>
    </row>
    <row r="11" spans="1:26" ht="33" customHeight="1" thickTop="1" thickBot="1">
      <c r="A11" s="272"/>
      <c r="B11" s="238"/>
      <c r="C11" s="695" t="s">
        <v>270</v>
      </c>
      <c r="D11" s="697"/>
      <c r="E11" s="450">
        <f>E9-J8</f>
        <v>0.03</v>
      </c>
      <c r="F11" s="462"/>
      <c r="G11" s="695" t="s">
        <v>271</v>
      </c>
      <c r="H11" s="696"/>
      <c r="I11" s="697"/>
      <c r="J11" s="450">
        <f>J9-J8</f>
        <v>2.0000000000000004E-2</v>
      </c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72"/>
      <c r="V11" s="233"/>
      <c r="W11" s="233"/>
      <c r="X11" s="233"/>
      <c r="Y11" s="233"/>
      <c r="Z11" s="233"/>
    </row>
    <row r="12" spans="1:26" ht="4.5" customHeight="1" thickTop="1">
      <c r="A12" s="272"/>
      <c r="B12" s="238"/>
      <c r="C12" s="449"/>
      <c r="D12" s="42"/>
      <c r="E12" s="42"/>
      <c r="F12" s="42"/>
      <c r="G12" s="42"/>
      <c r="H12" s="42"/>
      <c r="I12" s="42"/>
      <c r="J12" s="451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72"/>
      <c r="V12" s="233"/>
      <c r="W12" s="233"/>
      <c r="X12" s="233"/>
      <c r="Y12" s="233"/>
      <c r="Z12" s="233"/>
    </row>
    <row r="13" spans="1:26" ht="44.25" customHeight="1">
      <c r="A13" s="272"/>
      <c r="B13" s="238"/>
      <c r="C13" s="691" t="s">
        <v>272</v>
      </c>
      <c r="D13" s="692"/>
      <c r="E13" s="709"/>
      <c r="F13" s="710"/>
      <c r="G13" s="707" t="s">
        <v>274</v>
      </c>
      <c r="H13" s="708"/>
      <c r="I13" s="424" t="s">
        <v>423</v>
      </c>
      <c r="J13" s="429" t="s">
        <v>424</v>
      </c>
      <c r="K13" s="434"/>
      <c r="L13" s="424" t="s">
        <v>293</v>
      </c>
      <c r="M13" s="238"/>
      <c r="N13" s="238"/>
      <c r="O13" s="238"/>
      <c r="P13" s="238"/>
      <c r="Q13" s="238"/>
      <c r="R13" s="238"/>
      <c r="S13" s="238"/>
      <c r="T13" s="238"/>
      <c r="U13" s="272"/>
      <c r="V13" s="233"/>
      <c r="W13" s="233"/>
      <c r="X13" s="233"/>
      <c r="Y13" s="233"/>
      <c r="Z13" s="233"/>
    </row>
    <row r="14" spans="1:26" ht="4.5" customHeight="1">
      <c r="A14" s="272"/>
      <c r="B14" s="238"/>
      <c r="C14" s="430"/>
      <c r="D14" s="110"/>
      <c r="E14" s="432"/>
      <c r="F14" s="432"/>
      <c r="G14" s="110"/>
      <c r="H14" s="110"/>
      <c r="I14" s="110"/>
      <c r="J14" s="110"/>
      <c r="K14" s="42"/>
      <c r="L14" s="433"/>
      <c r="M14" s="238"/>
      <c r="N14" s="238"/>
      <c r="O14" s="238"/>
      <c r="P14" s="238"/>
      <c r="Q14" s="238"/>
      <c r="R14" s="238"/>
      <c r="S14" s="238"/>
      <c r="T14" s="238"/>
      <c r="U14" s="272"/>
      <c r="V14" s="233"/>
      <c r="W14" s="233"/>
      <c r="X14" s="233"/>
      <c r="Y14" s="233"/>
      <c r="Z14" s="233"/>
    </row>
    <row r="15" spans="1:26" ht="15">
      <c r="A15" s="272"/>
      <c r="B15" s="238"/>
      <c r="C15" s="711" t="s">
        <v>276</v>
      </c>
      <c r="D15" s="712"/>
      <c r="E15" s="712"/>
      <c r="F15" s="712"/>
      <c r="G15" s="712"/>
      <c r="H15" s="712"/>
      <c r="I15" s="712"/>
      <c r="J15" s="713"/>
      <c r="K15" s="113"/>
      <c r="L15" s="431"/>
      <c r="M15" s="238"/>
      <c r="N15" s="238"/>
      <c r="O15" s="238"/>
      <c r="P15" s="238"/>
      <c r="Q15" s="238"/>
      <c r="R15" s="238"/>
      <c r="S15" s="238"/>
      <c r="T15" s="238"/>
      <c r="U15" s="272"/>
      <c r="V15" s="233"/>
      <c r="W15" s="233"/>
      <c r="X15" s="233"/>
      <c r="Y15" s="233"/>
      <c r="Z15" s="233"/>
    </row>
    <row r="16" spans="1:26" ht="15">
      <c r="A16" s="272"/>
      <c r="B16" s="238"/>
      <c r="C16" s="422" t="s">
        <v>297</v>
      </c>
      <c r="D16" s="422"/>
      <c r="E16" s="423"/>
      <c r="F16" s="39"/>
      <c r="G16" s="452">
        <v>6000</v>
      </c>
      <c r="H16" s="436"/>
      <c r="I16" s="203">
        <v>1</v>
      </c>
      <c r="J16" s="435">
        <f>G16*I16</f>
        <v>6000</v>
      </c>
      <c r="K16" s="438"/>
      <c r="L16" s="437">
        <f>J16/$J$39</f>
        <v>0.37876278255599832</v>
      </c>
      <c r="M16" s="238"/>
      <c r="N16" s="238"/>
      <c r="O16" s="238"/>
      <c r="P16" s="238"/>
      <c r="Q16" s="238"/>
      <c r="R16" s="238"/>
      <c r="S16" s="238"/>
      <c r="T16" s="238"/>
      <c r="U16" s="272"/>
      <c r="V16" s="233"/>
      <c r="W16" s="233"/>
      <c r="X16" s="233"/>
      <c r="Y16" s="233"/>
      <c r="Z16" s="233"/>
    </row>
    <row r="17" spans="1:26" ht="15">
      <c r="A17" s="272"/>
      <c r="B17" s="238"/>
      <c r="C17" s="422" t="s">
        <v>294</v>
      </c>
      <c r="D17" s="422"/>
      <c r="E17" s="423"/>
      <c r="F17" s="39"/>
      <c r="G17" s="458">
        <v>1200</v>
      </c>
      <c r="H17" s="119"/>
      <c r="I17" s="203">
        <v>1</v>
      </c>
      <c r="J17" s="435">
        <f>G17*I17</f>
        <v>1200</v>
      </c>
      <c r="K17" s="438"/>
      <c r="L17" s="437">
        <f>J17/$J$39</f>
        <v>7.5752556511199665E-2</v>
      </c>
      <c r="M17" s="238"/>
      <c r="N17" s="238"/>
      <c r="O17" s="238"/>
      <c r="P17" s="238"/>
      <c r="Q17" s="238"/>
      <c r="R17" s="238"/>
      <c r="S17" s="238"/>
      <c r="T17" s="238"/>
      <c r="U17" s="272"/>
      <c r="V17" s="233"/>
      <c r="W17" s="233"/>
      <c r="X17" s="233"/>
      <c r="Y17" s="233"/>
      <c r="Z17" s="233"/>
    </row>
    <row r="18" spans="1:26" ht="15">
      <c r="A18" s="272"/>
      <c r="B18" s="238"/>
      <c r="C18" s="422" t="s">
        <v>295</v>
      </c>
      <c r="D18" s="422"/>
      <c r="E18" s="423"/>
      <c r="F18" s="39"/>
      <c r="G18" s="458">
        <v>500</v>
      </c>
      <c r="H18" s="119"/>
      <c r="I18" s="203">
        <v>1</v>
      </c>
      <c r="J18" s="435">
        <f>G18*I18</f>
        <v>500</v>
      </c>
      <c r="K18" s="438"/>
      <c r="L18" s="437">
        <f>J18/$J$39</f>
        <v>3.1563565212999863E-2</v>
      </c>
      <c r="M18" s="238"/>
      <c r="N18" s="238"/>
      <c r="O18" s="238"/>
      <c r="P18" s="238"/>
      <c r="Q18" s="238"/>
      <c r="R18" s="238"/>
      <c r="S18" s="238"/>
      <c r="T18" s="238"/>
      <c r="U18" s="272"/>
      <c r="V18" s="233"/>
      <c r="W18" s="233"/>
      <c r="X18" s="233"/>
      <c r="Y18" s="233"/>
      <c r="Z18" s="233"/>
    </row>
    <row r="19" spans="1:26" ht="15.75" thickBot="1">
      <c r="A19" s="272"/>
      <c r="B19" s="238"/>
      <c r="C19" s="422" t="s">
        <v>296</v>
      </c>
      <c r="D19" s="422"/>
      <c r="E19" s="423"/>
      <c r="F19" s="39"/>
      <c r="G19" s="459">
        <v>600</v>
      </c>
      <c r="H19" s="119"/>
      <c r="I19" s="203">
        <v>1</v>
      </c>
      <c r="J19" s="435">
        <f>G19*I19</f>
        <v>600</v>
      </c>
      <c r="K19" s="438"/>
      <c r="L19" s="437">
        <f>J19/$J$39</f>
        <v>3.7876278255599832E-2</v>
      </c>
      <c r="M19" s="238"/>
      <c r="N19" s="238"/>
      <c r="O19" s="238"/>
      <c r="P19" s="238"/>
      <c r="Q19" s="238"/>
      <c r="R19" s="238"/>
      <c r="S19" s="238"/>
      <c r="T19" s="238"/>
      <c r="U19" s="272"/>
      <c r="V19" s="233"/>
      <c r="W19" s="233"/>
      <c r="X19" s="233"/>
      <c r="Y19" s="233"/>
      <c r="Z19" s="233"/>
    </row>
    <row r="20" spans="1:26" ht="16.5" thickTop="1" thickBot="1">
      <c r="A20" s="272"/>
      <c r="B20" s="238"/>
      <c r="C20" s="695" t="s">
        <v>301</v>
      </c>
      <c r="D20" s="696"/>
      <c r="E20" s="696"/>
      <c r="F20" s="696"/>
      <c r="G20" s="696"/>
      <c r="H20" s="696"/>
      <c r="I20" s="697"/>
      <c r="J20" s="455">
        <f>SUM(J16:J19)</f>
        <v>8300</v>
      </c>
      <c r="K20" s="42"/>
      <c r="L20" s="456">
        <f>J20/$J$39</f>
        <v>0.52395518253579776</v>
      </c>
      <c r="M20" s="238"/>
      <c r="N20" s="238"/>
      <c r="O20" s="238"/>
      <c r="P20" s="238"/>
      <c r="Q20" s="238"/>
      <c r="R20" s="238"/>
      <c r="S20" s="238"/>
      <c r="T20" s="238"/>
      <c r="U20" s="272"/>
      <c r="V20" s="233"/>
      <c r="W20" s="233"/>
      <c r="X20" s="233"/>
      <c r="Y20" s="233"/>
      <c r="Z20" s="233"/>
    </row>
    <row r="21" spans="1:26" ht="29.25" customHeight="1" thickTop="1">
      <c r="A21" s="272"/>
      <c r="B21" s="238"/>
      <c r="C21" s="689" t="s">
        <v>277</v>
      </c>
      <c r="D21" s="690"/>
      <c r="E21" s="424" t="s">
        <v>421</v>
      </c>
      <c r="F21" s="463"/>
      <c r="G21" s="681"/>
      <c r="H21" s="681"/>
      <c r="I21" s="681"/>
      <c r="J21" s="682"/>
      <c r="K21" s="113"/>
      <c r="L21" s="468"/>
      <c r="M21" s="238"/>
      <c r="N21" s="238"/>
      <c r="O21" s="238"/>
      <c r="P21" s="238"/>
      <c r="Q21" s="238"/>
      <c r="R21" s="238"/>
      <c r="S21" s="238"/>
      <c r="T21" s="238"/>
      <c r="U21" s="272"/>
      <c r="V21" s="233"/>
      <c r="W21" s="233"/>
      <c r="X21" s="233"/>
      <c r="Y21" s="233"/>
      <c r="Z21" s="233"/>
    </row>
    <row r="22" spans="1:26" ht="15">
      <c r="A22" s="272"/>
      <c r="B22" s="238"/>
      <c r="C22" s="422" t="s">
        <v>287</v>
      </c>
      <c r="D22" s="422"/>
      <c r="E22" s="203">
        <f>$E$8</f>
        <v>20</v>
      </c>
      <c r="F22" s="115"/>
      <c r="G22" s="452">
        <v>75</v>
      </c>
      <c r="H22" s="122">
        <f>(1-(1/(1+$E$11))^E22)/$E$11</f>
        <v>14.877474860455509</v>
      </c>
      <c r="I22" s="173">
        <f>H22</f>
        <v>14.877474860455509</v>
      </c>
      <c r="J22" s="435">
        <f>G22*I22</f>
        <v>1115.8106145341633</v>
      </c>
      <c r="K22" s="438"/>
      <c r="L22" s="437">
        <f>J22/$J$39</f>
        <v>7.0437922194413027E-2</v>
      </c>
      <c r="M22" s="238"/>
      <c r="N22" s="238"/>
      <c r="O22" s="238"/>
      <c r="P22" s="238"/>
      <c r="Q22" s="238"/>
      <c r="R22" s="238"/>
      <c r="S22" s="238"/>
      <c r="T22" s="238"/>
      <c r="U22" s="272"/>
      <c r="V22" s="233"/>
      <c r="W22" s="233"/>
      <c r="X22" s="233"/>
      <c r="Y22" s="233"/>
      <c r="Z22" s="233"/>
    </row>
    <row r="23" spans="1:26" ht="15">
      <c r="A23" s="272"/>
      <c r="B23" s="238"/>
      <c r="C23" s="422" t="s">
        <v>279</v>
      </c>
      <c r="D23" s="422"/>
      <c r="E23" s="203">
        <f t="shared" ref="E23:E25" si="0">$E$8</f>
        <v>20</v>
      </c>
      <c r="F23" s="115"/>
      <c r="G23" s="458">
        <v>80</v>
      </c>
      <c r="H23" s="122">
        <f>(1-(1/(1+$E$11))^E23)/$E$11</f>
        <v>14.877474860455509</v>
      </c>
      <c r="I23" s="173">
        <f>H23</f>
        <v>14.877474860455509</v>
      </c>
      <c r="J23" s="435">
        <f>G23*I23</f>
        <v>1190.1979888364408</v>
      </c>
      <c r="K23" s="438"/>
      <c r="L23" s="437">
        <f>J23/$J$39</f>
        <v>7.5133783674040569E-2</v>
      </c>
      <c r="M23" s="238"/>
      <c r="N23" s="238"/>
      <c r="O23" s="238"/>
      <c r="P23" s="238"/>
      <c r="Q23" s="238"/>
      <c r="R23" s="238"/>
      <c r="S23" s="238"/>
      <c r="T23" s="238"/>
      <c r="U23" s="272"/>
      <c r="V23" s="233"/>
      <c r="W23" s="233"/>
      <c r="X23" s="233"/>
      <c r="Y23" s="233"/>
      <c r="Z23" s="233"/>
    </row>
    <row r="24" spans="1:26" ht="15">
      <c r="A24" s="272"/>
      <c r="B24" s="238"/>
      <c r="C24" s="422" t="s">
        <v>280</v>
      </c>
      <c r="D24" s="422"/>
      <c r="E24" s="203">
        <f t="shared" si="0"/>
        <v>20</v>
      </c>
      <c r="F24" s="115"/>
      <c r="G24" s="458"/>
      <c r="H24" s="122">
        <f>(1-(1/(1+$E$11))^E24)/$E$11</f>
        <v>14.877474860455509</v>
      </c>
      <c r="I24" s="173">
        <f>H24</f>
        <v>14.877474860455509</v>
      </c>
      <c r="J24" s="435">
        <f>G24*I24</f>
        <v>0</v>
      </c>
      <c r="K24" s="438"/>
      <c r="L24" s="437">
        <f>J24/$J$39</f>
        <v>0</v>
      </c>
      <c r="M24" s="238"/>
      <c r="N24" s="238"/>
      <c r="O24" s="238"/>
      <c r="P24" s="238"/>
      <c r="Q24" s="238"/>
      <c r="R24" s="238"/>
      <c r="S24" s="238"/>
      <c r="T24" s="238"/>
      <c r="U24" s="272"/>
      <c r="V24" s="233"/>
      <c r="W24" s="233"/>
      <c r="X24" s="233"/>
      <c r="Y24" s="233"/>
      <c r="Z24" s="233"/>
    </row>
    <row r="25" spans="1:26" ht="15.75" thickBot="1">
      <c r="A25" s="272"/>
      <c r="B25" s="238"/>
      <c r="C25" s="422" t="s">
        <v>281</v>
      </c>
      <c r="D25" s="422"/>
      <c r="E25" s="203">
        <f t="shared" si="0"/>
        <v>20</v>
      </c>
      <c r="F25" s="115"/>
      <c r="G25" s="457"/>
      <c r="H25" s="122">
        <f>(1-(1/(1+$E$11))^E25)/$E$11</f>
        <v>14.877474860455509</v>
      </c>
      <c r="I25" s="173">
        <f>H25</f>
        <v>14.877474860455509</v>
      </c>
      <c r="J25" s="435">
        <f>G25*I25</f>
        <v>0</v>
      </c>
      <c r="K25" s="438"/>
      <c r="L25" s="437">
        <f>J25/$J$39</f>
        <v>0</v>
      </c>
      <c r="M25" s="238"/>
      <c r="N25" s="238"/>
      <c r="O25" s="238"/>
      <c r="P25" s="238"/>
      <c r="Q25" s="238"/>
      <c r="R25" s="238"/>
      <c r="S25" s="238"/>
      <c r="T25" s="238"/>
      <c r="U25" s="272"/>
      <c r="V25" s="233"/>
      <c r="W25" s="233"/>
      <c r="X25" s="233"/>
      <c r="Y25" s="233"/>
      <c r="Z25" s="233"/>
    </row>
    <row r="26" spans="1:26" ht="16.5" customHeight="1" thickTop="1" thickBot="1">
      <c r="A26" s="272"/>
      <c r="B26" s="238"/>
      <c r="C26" s="695" t="s">
        <v>302</v>
      </c>
      <c r="D26" s="696"/>
      <c r="E26" s="696"/>
      <c r="F26" s="696"/>
      <c r="G26" s="696"/>
      <c r="H26" s="696"/>
      <c r="I26" s="697"/>
      <c r="J26" s="455">
        <f>SUM(J22:J25)</f>
        <v>2306.0086033706039</v>
      </c>
      <c r="K26" s="113"/>
      <c r="L26" s="456">
        <f>J26/$J$39</f>
        <v>0.14557170586845358</v>
      </c>
      <c r="M26" s="238"/>
      <c r="N26" s="238"/>
      <c r="O26" s="238"/>
      <c r="P26" s="238"/>
      <c r="Q26" s="238"/>
      <c r="R26" s="238"/>
      <c r="S26" s="238"/>
      <c r="T26" s="238"/>
      <c r="U26" s="272"/>
      <c r="V26" s="233"/>
      <c r="W26" s="233"/>
      <c r="X26" s="233"/>
      <c r="Y26" s="233"/>
      <c r="Z26" s="233"/>
    </row>
    <row r="27" spans="1:26" ht="1.5" hidden="1" customHeight="1">
      <c r="A27" s="272"/>
      <c r="B27" s="238"/>
      <c r="C27" s="693" t="s">
        <v>282</v>
      </c>
      <c r="D27" s="694"/>
      <c r="E27" s="116"/>
      <c r="F27" s="116"/>
      <c r="G27" s="117"/>
      <c r="H27" s="117"/>
      <c r="I27" s="40"/>
      <c r="J27" s="118"/>
      <c r="K27" s="113"/>
      <c r="L27" s="4"/>
      <c r="M27" s="238"/>
      <c r="N27" s="238"/>
      <c r="O27" s="238"/>
      <c r="P27" s="238"/>
      <c r="Q27" s="238"/>
      <c r="R27" s="238"/>
      <c r="S27" s="238"/>
      <c r="T27" s="238"/>
      <c r="U27" s="272"/>
      <c r="V27" s="233"/>
      <c r="W27" s="233"/>
      <c r="X27" s="233"/>
      <c r="Y27" s="233"/>
      <c r="Z27" s="233"/>
    </row>
    <row r="28" spans="1:26" ht="3" hidden="1" customHeight="1">
      <c r="A28" s="272"/>
      <c r="B28" s="238"/>
      <c r="C28" s="43" t="s">
        <v>283</v>
      </c>
      <c r="D28" s="3"/>
      <c r="E28" s="121"/>
      <c r="F28" s="115"/>
      <c r="G28" s="119"/>
      <c r="H28" s="122">
        <f>(1-(1/(1+J11))^F28)/J11</f>
        <v>0</v>
      </c>
      <c r="I28" s="38">
        <f>H28</f>
        <v>0</v>
      </c>
      <c r="J28" s="120">
        <f>G28*I28</f>
        <v>0</v>
      </c>
      <c r="K28" s="113"/>
      <c r="L28" s="4"/>
      <c r="M28" s="238"/>
      <c r="N28" s="238"/>
      <c r="O28" s="238"/>
      <c r="P28" s="238"/>
      <c r="Q28" s="238"/>
      <c r="R28" s="238"/>
      <c r="S28" s="238"/>
      <c r="T28" s="238"/>
      <c r="U28" s="272"/>
      <c r="V28" s="233"/>
      <c r="W28" s="233"/>
      <c r="X28" s="233"/>
      <c r="Y28" s="233"/>
      <c r="Z28" s="233"/>
    </row>
    <row r="29" spans="1:26" ht="34.5" customHeight="1" thickTop="1">
      <c r="A29" s="272"/>
      <c r="B29" s="238"/>
      <c r="C29" s="689" t="s">
        <v>304</v>
      </c>
      <c r="D29" s="690"/>
      <c r="E29" s="424" t="s">
        <v>420</v>
      </c>
      <c r="F29" s="463"/>
      <c r="G29" s="681"/>
      <c r="H29" s="681"/>
      <c r="I29" s="681"/>
      <c r="J29" s="682"/>
      <c r="K29" s="113"/>
      <c r="L29" s="468"/>
      <c r="M29" s="238"/>
      <c r="N29" s="238"/>
      <c r="O29" s="238"/>
      <c r="P29" s="238"/>
      <c r="Q29" s="238"/>
      <c r="R29" s="238"/>
      <c r="S29" s="238"/>
      <c r="T29" s="238"/>
      <c r="U29" s="272"/>
      <c r="V29" s="233"/>
      <c r="W29" s="233"/>
      <c r="X29" s="233"/>
      <c r="Y29" s="233"/>
      <c r="Z29" s="233"/>
    </row>
    <row r="30" spans="1:26" ht="15">
      <c r="A30" s="272"/>
      <c r="B30" s="238"/>
      <c r="C30" s="426" t="s">
        <v>298</v>
      </c>
      <c r="D30" s="426"/>
      <c r="E30" s="469">
        <v>8</v>
      </c>
      <c r="F30" s="121"/>
      <c r="G30" s="452">
        <v>2850</v>
      </c>
      <c r="H30" s="123">
        <f>1/(1+$E$11)^E30</f>
        <v>0.78940923431393573</v>
      </c>
      <c r="I30" s="173">
        <f>IF(H30=1,"",H30)</f>
        <v>0.78940923431393573</v>
      </c>
      <c r="J30" s="435">
        <f>IF(I30="","",G30*I30)</f>
        <v>2249.8163177947167</v>
      </c>
      <c r="K30" s="438"/>
      <c r="L30" s="437">
        <f>J30/$J$39</f>
        <v>0.14202444812796952</v>
      </c>
      <c r="M30" s="238"/>
      <c r="N30" s="238"/>
      <c r="O30" s="238"/>
      <c r="P30" s="238"/>
      <c r="Q30" s="238"/>
      <c r="R30" s="238"/>
      <c r="S30" s="238"/>
      <c r="T30" s="238"/>
      <c r="U30" s="272"/>
      <c r="V30" s="233"/>
      <c r="W30" s="233"/>
      <c r="X30" s="233"/>
      <c r="Y30" s="233"/>
      <c r="Z30" s="233"/>
    </row>
    <row r="31" spans="1:26" ht="15">
      <c r="A31" s="272"/>
      <c r="B31" s="238"/>
      <c r="C31" s="426" t="s">
        <v>299</v>
      </c>
      <c r="D31" s="426"/>
      <c r="E31" s="470">
        <v>16</v>
      </c>
      <c r="F31" s="121"/>
      <c r="G31" s="458">
        <v>2850</v>
      </c>
      <c r="H31" s="123">
        <f>1/(1+$E$11)^E31</f>
        <v>0.62316693922011435</v>
      </c>
      <c r="I31" s="173">
        <f>IF(H31=1,"",H31)</f>
        <v>0.62316693922011435</v>
      </c>
      <c r="J31" s="435">
        <f>IF(I31="","",G31*I31)</f>
        <v>1776.025776777326</v>
      </c>
      <c r="K31" s="438"/>
      <c r="L31" s="437">
        <f>J31/$J$39</f>
        <v>0.11211541085055973</v>
      </c>
      <c r="M31" s="238"/>
      <c r="N31" s="238"/>
      <c r="O31" s="238"/>
      <c r="P31" s="238"/>
      <c r="Q31" s="238"/>
      <c r="R31" s="238"/>
      <c r="S31" s="238"/>
      <c r="T31" s="238"/>
      <c r="U31" s="272"/>
      <c r="V31" s="233"/>
      <c r="W31" s="233"/>
      <c r="X31" s="233"/>
      <c r="Y31" s="233"/>
      <c r="Z31" s="233"/>
    </row>
    <row r="32" spans="1:26" ht="15">
      <c r="A32" s="272"/>
      <c r="B32" s="238"/>
      <c r="C32" s="426" t="s">
        <v>300</v>
      </c>
      <c r="D32" s="426"/>
      <c r="E32" s="470">
        <v>20</v>
      </c>
      <c r="F32" s="121"/>
      <c r="G32" s="458">
        <v>2850</v>
      </c>
      <c r="H32" s="123">
        <f>1/(1+$E$11)^E32</f>
        <v>0.55367575418633497</v>
      </c>
      <c r="I32" s="173">
        <f>IF(H32=1,"",H32)</f>
        <v>0.55367575418633497</v>
      </c>
      <c r="J32" s="435">
        <f>IF(I32="","",G32*I32)</f>
        <v>1577.9758994310546</v>
      </c>
      <c r="K32" s="438"/>
      <c r="L32" s="437">
        <f>J32/$J$39</f>
        <v>9.9613090412468408E-2</v>
      </c>
      <c r="M32" s="238"/>
      <c r="N32" s="238"/>
      <c r="O32" s="238"/>
      <c r="P32" s="238"/>
      <c r="Q32" s="238"/>
      <c r="R32" s="238"/>
      <c r="S32" s="238"/>
      <c r="T32" s="238"/>
      <c r="U32" s="272"/>
      <c r="V32" s="233"/>
      <c r="W32" s="233"/>
      <c r="X32" s="233"/>
      <c r="Y32" s="233"/>
      <c r="Z32" s="233"/>
    </row>
    <row r="33" spans="1:26" ht="15.75" thickBot="1">
      <c r="A33" s="272"/>
      <c r="B33" s="238"/>
      <c r="C33" s="426" t="s">
        <v>306</v>
      </c>
      <c r="D33" s="426"/>
      <c r="E33" s="471">
        <v>10</v>
      </c>
      <c r="F33" s="121"/>
      <c r="G33" s="457">
        <v>200</v>
      </c>
      <c r="H33" s="123">
        <f>1/(1+$E$11)^E33</f>
        <v>0.74409391489672516</v>
      </c>
      <c r="I33" s="173">
        <f>IF(H33=1,"",H33)</f>
        <v>0.74409391489672516</v>
      </c>
      <c r="J33" s="435">
        <f>IF(I33="","",G33*I33)</f>
        <v>148.81878297934503</v>
      </c>
      <c r="K33" s="438"/>
      <c r="L33" s="437">
        <f>IF(J33="","",J33/$J$39)</f>
        <v>9.394502722975661E-3</v>
      </c>
      <c r="M33" s="238"/>
      <c r="N33" s="238"/>
      <c r="O33" s="238"/>
      <c r="P33" s="238"/>
      <c r="Q33" s="238"/>
      <c r="R33" s="238"/>
      <c r="S33" s="238"/>
      <c r="T33" s="238"/>
      <c r="U33" s="272"/>
      <c r="V33" s="233"/>
      <c r="W33" s="233"/>
      <c r="X33" s="233"/>
      <c r="Y33" s="233"/>
      <c r="Z33" s="233"/>
    </row>
    <row r="34" spans="1:26" ht="15.75" customHeight="1" thickTop="1" thickBot="1">
      <c r="A34" s="272"/>
      <c r="B34" s="238"/>
      <c r="C34" s="695" t="s">
        <v>303</v>
      </c>
      <c r="D34" s="696"/>
      <c r="E34" s="696"/>
      <c r="F34" s="696"/>
      <c r="G34" s="696"/>
      <c r="H34" s="696"/>
      <c r="I34" s="697"/>
      <c r="J34" s="455">
        <f>SUM(J30:J33)</f>
        <v>5752.6367769824419</v>
      </c>
      <c r="K34" s="113"/>
      <c r="L34" s="456">
        <f>J34/$J$39</f>
        <v>0.36314745211397331</v>
      </c>
      <c r="M34" s="238"/>
      <c r="N34" s="238"/>
      <c r="O34" s="238"/>
      <c r="P34" s="238"/>
      <c r="Q34" s="238"/>
      <c r="R34" s="238"/>
      <c r="S34" s="238"/>
      <c r="T34" s="238"/>
      <c r="U34" s="272"/>
      <c r="V34" s="233"/>
      <c r="W34" s="233"/>
      <c r="X34" s="233"/>
      <c r="Y34" s="233"/>
      <c r="Z34" s="233"/>
    </row>
    <row r="35" spans="1:26" ht="31.5" thickTop="1" thickBot="1">
      <c r="A35" s="272"/>
      <c r="B35" s="238"/>
      <c r="C35" s="689" t="s">
        <v>285</v>
      </c>
      <c r="D35" s="690"/>
      <c r="E35" s="427" t="s">
        <v>420</v>
      </c>
      <c r="F35" s="463"/>
      <c r="G35" s="681"/>
      <c r="H35" s="681"/>
      <c r="I35" s="681"/>
      <c r="J35" s="682"/>
      <c r="K35" s="113"/>
      <c r="L35" s="468"/>
      <c r="M35" s="238"/>
      <c r="N35" s="238"/>
      <c r="O35" s="238"/>
      <c r="P35" s="238"/>
      <c r="Q35" s="238"/>
      <c r="R35" s="238"/>
      <c r="S35" s="238"/>
      <c r="T35" s="238"/>
      <c r="U35" s="272"/>
      <c r="V35" s="233"/>
      <c r="W35" s="233"/>
      <c r="X35" s="233"/>
      <c r="Y35" s="233"/>
      <c r="Z35" s="233"/>
    </row>
    <row r="36" spans="1:26" ht="16.5" thickTop="1" thickBot="1">
      <c r="A36" s="272"/>
      <c r="B36" s="238"/>
      <c r="C36" s="426" t="s">
        <v>288</v>
      </c>
      <c r="D36" s="472">
        <v>0.2</v>
      </c>
      <c r="E36" s="203">
        <v>20</v>
      </c>
      <c r="F36" s="121"/>
      <c r="G36" s="435">
        <f>E37*D36</f>
        <v>1660</v>
      </c>
      <c r="H36" s="123">
        <f>1/(1+$E$9)^E36</f>
        <v>0.31180472688608429</v>
      </c>
      <c r="I36" s="173">
        <f>H36</f>
        <v>0.31180472688608429</v>
      </c>
      <c r="J36" s="467">
        <f>G36*I36</f>
        <v>517.59584663089993</v>
      </c>
      <c r="K36" s="113"/>
      <c r="L36" s="456">
        <f>J36/$J$39</f>
        <v>3.2674340518224571E-2</v>
      </c>
      <c r="M36" s="238"/>
      <c r="N36" s="238"/>
      <c r="O36" s="238"/>
      <c r="P36" s="238"/>
      <c r="Q36" s="238"/>
      <c r="R36" s="238"/>
      <c r="S36" s="238"/>
      <c r="T36" s="238"/>
      <c r="U36" s="272"/>
      <c r="V36" s="233"/>
      <c r="W36" s="233"/>
      <c r="X36" s="233"/>
      <c r="Y36" s="233"/>
      <c r="Z36" s="233"/>
    </row>
    <row r="37" spans="1:26" ht="15.75" thickTop="1">
      <c r="A37" s="272"/>
      <c r="B37" s="238"/>
      <c r="C37" s="426" t="s">
        <v>289</v>
      </c>
      <c r="D37" s="426"/>
      <c r="E37" s="435">
        <f>J20</f>
        <v>8300</v>
      </c>
      <c r="F37" s="121"/>
      <c r="G37" s="683"/>
      <c r="H37" s="684"/>
      <c r="I37" s="684"/>
      <c r="J37" s="685"/>
      <c r="K37" s="113"/>
      <c r="L37" s="468"/>
      <c r="M37" s="238"/>
      <c r="N37" s="238"/>
      <c r="O37" s="238"/>
      <c r="P37" s="238"/>
      <c r="Q37" s="238"/>
      <c r="R37" s="238"/>
      <c r="S37" s="238"/>
      <c r="T37" s="238"/>
      <c r="U37" s="272"/>
      <c r="V37" s="233"/>
      <c r="W37" s="233"/>
      <c r="X37" s="233"/>
      <c r="Y37" s="233"/>
      <c r="Z37" s="233"/>
    </row>
    <row r="38" spans="1:26" ht="4.5" customHeight="1" thickBot="1">
      <c r="A38" s="272"/>
      <c r="B38" s="238"/>
      <c r="C38" s="42"/>
      <c r="D38" s="42"/>
      <c r="E38" s="42"/>
      <c r="F38" s="42"/>
      <c r="G38" s="42"/>
      <c r="H38" s="42"/>
      <c r="I38" s="42"/>
      <c r="J38" s="42"/>
      <c r="K38" s="113"/>
      <c r="L38" s="44"/>
      <c r="M38" s="238"/>
      <c r="N38" s="238"/>
      <c r="O38" s="238"/>
      <c r="P38" s="238"/>
      <c r="Q38" s="238"/>
      <c r="R38" s="238"/>
      <c r="S38" s="238"/>
      <c r="T38" s="238"/>
      <c r="U38" s="272"/>
      <c r="V38" s="233"/>
      <c r="W38" s="233"/>
      <c r="X38" s="233"/>
      <c r="Y38" s="233"/>
      <c r="Z38" s="233"/>
    </row>
    <row r="39" spans="1:26" ht="16.5" thickTop="1" thickBot="1">
      <c r="A39" s="272"/>
      <c r="B39" s="238"/>
      <c r="C39" s="238"/>
      <c r="D39" s="238"/>
      <c r="E39" s="238"/>
      <c r="F39" s="127"/>
      <c r="G39" s="686" t="s">
        <v>286</v>
      </c>
      <c r="H39" s="687"/>
      <c r="I39" s="688"/>
      <c r="J39" s="455">
        <f>J20+J26+J28+J34-J36</f>
        <v>15841.049533722145</v>
      </c>
      <c r="K39" s="113"/>
      <c r="L39" s="456">
        <f>L20+L26+L34-L36</f>
        <v>1</v>
      </c>
      <c r="M39" s="238"/>
      <c r="N39" s="238"/>
      <c r="O39" s="238"/>
      <c r="P39" s="238"/>
      <c r="Q39" s="238"/>
      <c r="R39" s="238"/>
      <c r="S39" s="238"/>
      <c r="T39" s="238"/>
      <c r="U39" s="272"/>
      <c r="V39" s="233"/>
      <c r="W39" s="233"/>
      <c r="X39" s="233"/>
      <c r="Y39" s="233"/>
      <c r="Z39" s="233"/>
    </row>
    <row r="40" spans="1:26" s="39" customFormat="1" ht="15" customHeight="1" thickTop="1">
      <c r="A40" s="272"/>
      <c r="B40" s="238"/>
      <c r="C40" s="238"/>
      <c r="D40" s="238"/>
      <c r="E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72"/>
      <c r="V40" s="238"/>
      <c r="W40" s="238"/>
      <c r="X40" s="238"/>
      <c r="Y40" s="238"/>
      <c r="Z40" s="238"/>
    </row>
    <row r="41" spans="1:26" ht="19.5" thickBot="1">
      <c r="A41" s="272"/>
      <c r="B41" s="238"/>
      <c r="C41" s="473" t="s">
        <v>290</v>
      </c>
      <c r="D41" s="238"/>
      <c r="E41" s="706" t="s">
        <v>291</v>
      </c>
      <c r="F41" s="706"/>
      <c r="G41" s="706"/>
      <c r="H41" s="706"/>
      <c r="I41" s="706"/>
      <c r="J41" s="706"/>
      <c r="K41" s="238"/>
      <c r="L41" s="238"/>
      <c r="M41" s="238"/>
      <c r="N41" s="238"/>
      <c r="O41" s="238"/>
      <c r="P41" s="238"/>
      <c r="Q41" s="238"/>
      <c r="R41" s="238"/>
      <c r="S41" s="238"/>
      <c r="T41" s="238"/>
      <c r="U41" s="272"/>
      <c r="V41" s="233"/>
      <c r="W41" s="233"/>
      <c r="X41" s="233"/>
      <c r="Y41" s="233"/>
      <c r="Z41" s="233"/>
    </row>
    <row r="42" spans="1:26" ht="19.5" thickBot="1">
      <c r="A42" s="272"/>
      <c r="B42" s="238"/>
      <c r="C42" s="598" t="s">
        <v>266</v>
      </c>
      <c r="D42" s="600"/>
      <c r="E42" s="293">
        <f>E8</f>
        <v>20</v>
      </c>
      <c r="F42" s="460"/>
      <c r="G42" s="598" t="s">
        <v>268</v>
      </c>
      <c r="H42" s="599"/>
      <c r="I42" s="600"/>
      <c r="J42" s="428">
        <f>J8</f>
        <v>0.03</v>
      </c>
      <c r="K42" s="238"/>
      <c r="L42" s="238"/>
      <c r="M42" s="238"/>
      <c r="N42" s="238"/>
      <c r="O42" s="238"/>
      <c r="P42" s="238"/>
      <c r="Q42" s="238"/>
      <c r="R42" s="238"/>
      <c r="S42" s="238"/>
      <c r="T42" s="238"/>
      <c r="U42" s="272"/>
      <c r="V42" s="233"/>
      <c r="W42" s="233"/>
      <c r="X42" s="233"/>
      <c r="Y42" s="233"/>
      <c r="Z42" s="233"/>
    </row>
    <row r="43" spans="1:26" ht="19.5" thickBot="1">
      <c r="A43" s="272"/>
      <c r="B43" s="238"/>
      <c r="C43" s="598" t="s">
        <v>267</v>
      </c>
      <c r="D43" s="600"/>
      <c r="E43" s="428">
        <f>E9</f>
        <v>0.06</v>
      </c>
      <c r="F43" s="460"/>
      <c r="G43" s="699" t="s">
        <v>269</v>
      </c>
      <c r="H43" s="700"/>
      <c r="I43" s="701"/>
      <c r="J43" s="428">
        <f>J9</f>
        <v>0.05</v>
      </c>
      <c r="K43" s="238"/>
      <c r="L43" s="238"/>
      <c r="M43" s="238"/>
      <c r="N43" s="238"/>
      <c r="O43" s="238"/>
      <c r="P43" s="238"/>
      <c r="Q43" s="238"/>
      <c r="R43" s="238"/>
      <c r="S43" s="238"/>
      <c r="T43" s="238"/>
      <c r="U43" s="272"/>
      <c r="V43" s="233"/>
      <c r="W43" s="233"/>
      <c r="X43" s="233"/>
      <c r="Y43" s="233"/>
      <c r="Z43" s="233"/>
    </row>
    <row r="44" spans="1:26" ht="4.5" customHeight="1" thickBot="1">
      <c r="A44" s="272"/>
      <c r="B44" s="238"/>
      <c r="C44" s="448"/>
      <c r="D44" s="41"/>
      <c r="E44" s="41"/>
      <c r="F44" s="461"/>
      <c r="G44" s="41"/>
      <c r="H44" s="41"/>
      <c r="I44" s="41"/>
      <c r="J44" s="41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272"/>
      <c r="V44" s="233"/>
      <c r="W44" s="233"/>
      <c r="X44" s="233"/>
      <c r="Y44" s="233"/>
      <c r="Z44" s="233"/>
    </row>
    <row r="45" spans="1:26" ht="18" thickTop="1" thickBot="1">
      <c r="A45" s="272"/>
      <c r="B45" s="238"/>
      <c r="C45" s="695" t="s">
        <v>270</v>
      </c>
      <c r="D45" s="697"/>
      <c r="E45" s="450">
        <f>E43-J42</f>
        <v>0.03</v>
      </c>
      <c r="F45" s="462"/>
      <c r="G45" s="695" t="s">
        <v>271</v>
      </c>
      <c r="H45" s="696"/>
      <c r="I45" s="697"/>
      <c r="J45" s="450">
        <f>J43-J42</f>
        <v>2.0000000000000004E-2</v>
      </c>
      <c r="K45" s="238"/>
      <c r="L45" s="238"/>
      <c r="M45" s="238"/>
      <c r="N45" s="238"/>
      <c r="O45" s="238"/>
      <c r="P45" s="238"/>
      <c r="Q45" s="238"/>
      <c r="R45" s="238"/>
      <c r="S45" s="238"/>
      <c r="T45" s="238"/>
      <c r="U45" s="272"/>
      <c r="V45" s="233"/>
      <c r="W45" s="233"/>
      <c r="X45" s="233"/>
      <c r="Y45" s="233"/>
      <c r="Z45" s="233"/>
    </row>
    <row r="46" spans="1:26" ht="4.5" customHeight="1" thickTop="1">
      <c r="A46" s="272"/>
      <c r="B46" s="238"/>
      <c r="C46" s="449"/>
      <c r="D46" s="42"/>
      <c r="E46" s="42"/>
      <c r="F46" s="42"/>
      <c r="G46" s="42"/>
      <c r="H46" s="42"/>
      <c r="I46" s="42"/>
      <c r="J46" s="451"/>
      <c r="K46" s="238"/>
      <c r="L46" s="238"/>
      <c r="M46" s="238"/>
      <c r="N46" s="238"/>
      <c r="O46" s="238"/>
      <c r="P46" s="238"/>
      <c r="Q46" s="238"/>
      <c r="R46" s="238"/>
      <c r="S46" s="238"/>
      <c r="T46" s="238"/>
      <c r="U46" s="272"/>
      <c r="V46" s="233"/>
      <c r="W46" s="233"/>
      <c r="X46" s="233"/>
      <c r="Y46" s="233"/>
      <c r="Z46" s="233"/>
    </row>
    <row r="47" spans="1:26" ht="45">
      <c r="A47" s="272"/>
      <c r="B47" s="238"/>
      <c r="C47" s="691" t="s">
        <v>272</v>
      </c>
      <c r="D47" s="698"/>
      <c r="E47" s="702"/>
      <c r="F47" s="703"/>
      <c r="G47" s="704" t="s">
        <v>274</v>
      </c>
      <c r="H47" s="705"/>
      <c r="I47" s="476" t="s">
        <v>273</v>
      </c>
      <c r="J47" s="477" t="s">
        <v>275</v>
      </c>
      <c r="K47" s="434"/>
      <c r="L47" s="466" t="s">
        <v>293</v>
      </c>
      <c r="M47" s="238"/>
      <c r="N47" s="238"/>
      <c r="O47" s="238"/>
      <c r="P47" s="238"/>
      <c r="Q47" s="238"/>
      <c r="R47" s="238"/>
      <c r="S47" s="238"/>
      <c r="T47" s="238"/>
      <c r="U47" s="272"/>
      <c r="V47" s="233"/>
      <c r="W47" s="233"/>
      <c r="X47" s="233"/>
      <c r="Y47" s="233"/>
      <c r="Z47" s="233"/>
    </row>
    <row r="48" spans="1:26" ht="4.5" customHeight="1">
      <c r="A48" s="272"/>
      <c r="B48" s="238"/>
      <c r="C48" s="430"/>
      <c r="D48" s="478"/>
      <c r="E48" s="478"/>
      <c r="F48" s="478"/>
      <c r="G48" s="478"/>
      <c r="H48" s="478"/>
      <c r="I48" s="478"/>
      <c r="J48" s="478"/>
      <c r="K48" s="42"/>
      <c r="L48" s="433"/>
      <c r="M48" s="238"/>
      <c r="N48" s="238"/>
      <c r="O48" s="238"/>
      <c r="P48" s="238"/>
      <c r="Q48" s="238"/>
      <c r="R48" s="238"/>
      <c r="S48" s="238"/>
      <c r="T48" s="238"/>
      <c r="U48" s="272"/>
      <c r="V48" s="233"/>
      <c r="W48" s="233"/>
      <c r="X48" s="233"/>
      <c r="Y48" s="233"/>
      <c r="Z48" s="233"/>
    </row>
    <row r="49" spans="1:26" ht="15">
      <c r="A49" s="272"/>
      <c r="B49" s="238"/>
      <c r="C49" s="711" t="s">
        <v>276</v>
      </c>
      <c r="D49" s="712"/>
      <c r="E49" s="712"/>
      <c r="F49" s="712"/>
      <c r="G49" s="712"/>
      <c r="H49" s="712"/>
      <c r="I49" s="712"/>
      <c r="J49" s="713"/>
      <c r="K49" s="113"/>
      <c r="L49" s="431"/>
      <c r="M49" s="238"/>
      <c r="N49" s="238"/>
      <c r="O49" s="238"/>
      <c r="P49" s="238"/>
      <c r="Q49" s="238"/>
      <c r="R49" s="238"/>
      <c r="S49" s="238"/>
      <c r="T49" s="238"/>
      <c r="U49" s="272"/>
      <c r="V49" s="233"/>
      <c r="W49" s="233"/>
      <c r="X49" s="233"/>
      <c r="Y49" s="233"/>
      <c r="Z49" s="233"/>
    </row>
    <row r="50" spans="1:26" ht="15.75" thickBot="1">
      <c r="A50" s="272"/>
      <c r="B50" s="238"/>
      <c r="C50" s="464" t="s">
        <v>291</v>
      </c>
      <c r="D50" s="464"/>
      <c r="E50" s="465"/>
      <c r="F50" s="39"/>
      <c r="G50" s="459">
        <v>7800</v>
      </c>
      <c r="H50" s="436"/>
      <c r="I50" s="203">
        <v>1</v>
      </c>
      <c r="J50" s="435">
        <f>G50*I50</f>
        <v>7800</v>
      </c>
      <c r="K50" s="438"/>
      <c r="L50" s="437">
        <f>IF(J50="",0,J50/$J$75)</f>
        <v>0.42618011953153667</v>
      </c>
      <c r="M50" s="238"/>
      <c r="N50" s="238"/>
      <c r="O50" s="238"/>
      <c r="P50" s="238"/>
      <c r="Q50" s="238"/>
      <c r="R50" s="238"/>
      <c r="S50" s="238"/>
      <c r="T50" s="238"/>
      <c r="U50" s="272"/>
      <c r="V50" s="233"/>
      <c r="W50" s="233"/>
      <c r="X50" s="233"/>
      <c r="Y50" s="233"/>
      <c r="Z50" s="233"/>
    </row>
    <row r="51" spans="1:26" ht="20.25" customHeight="1" thickTop="1" thickBot="1">
      <c r="A51" s="272"/>
      <c r="B51" s="238"/>
      <c r="C51" s="695" t="s">
        <v>301</v>
      </c>
      <c r="D51" s="696"/>
      <c r="E51" s="696"/>
      <c r="F51" s="696"/>
      <c r="G51" s="696"/>
      <c r="H51" s="696"/>
      <c r="I51" s="697"/>
      <c r="J51" s="455">
        <f>SUM(J50)</f>
        <v>7800</v>
      </c>
      <c r="K51" s="42"/>
      <c r="L51" s="456">
        <f>J51/$J$75</f>
        <v>0.42618011953153667</v>
      </c>
      <c r="M51" s="238"/>
      <c r="N51" s="238"/>
      <c r="O51" s="238"/>
      <c r="P51" s="238"/>
      <c r="Q51" s="238"/>
      <c r="R51" s="238"/>
      <c r="S51" s="238"/>
      <c r="T51" s="238"/>
      <c r="U51" s="272"/>
      <c r="V51" s="233"/>
      <c r="W51" s="233"/>
      <c r="X51" s="233"/>
      <c r="Y51" s="233"/>
      <c r="Z51" s="233"/>
    </row>
    <row r="52" spans="1:26" ht="30.75" thickTop="1">
      <c r="A52" s="272"/>
      <c r="B52" s="238"/>
      <c r="C52" s="689" t="s">
        <v>277</v>
      </c>
      <c r="D52" s="690"/>
      <c r="E52" s="466" t="s">
        <v>421</v>
      </c>
      <c r="F52" s="463"/>
      <c r="G52" s="681"/>
      <c r="H52" s="681"/>
      <c r="I52" s="681"/>
      <c r="J52" s="682"/>
      <c r="K52" s="113"/>
      <c r="L52" s="468"/>
      <c r="M52" s="238"/>
      <c r="N52" s="238"/>
      <c r="O52" s="238"/>
      <c r="P52" s="238"/>
      <c r="Q52" s="238"/>
      <c r="R52" s="238"/>
      <c r="S52" s="238"/>
      <c r="T52" s="238"/>
      <c r="U52" s="272"/>
      <c r="V52" s="233"/>
      <c r="W52" s="233"/>
      <c r="X52" s="233"/>
      <c r="Y52" s="233"/>
      <c r="Z52" s="233"/>
    </row>
    <row r="53" spans="1:26" ht="15">
      <c r="A53" s="272"/>
      <c r="B53" s="238"/>
      <c r="C53" s="464" t="s">
        <v>278</v>
      </c>
      <c r="D53" s="464"/>
      <c r="E53" s="203">
        <v>20</v>
      </c>
      <c r="F53" s="115"/>
      <c r="G53" s="452">
        <v>120</v>
      </c>
      <c r="H53" s="122">
        <f>(1-(1/(1+$E$11))^E53)/$E$11</f>
        <v>14.877474860455509</v>
      </c>
      <c r="I53" s="173">
        <f>H53</f>
        <v>14.877474860455509</v>
      </c>
      <c r="J53" s="435">
        <f>G53*I53</f>
        <v>1785.296983254661</v>
      </c>
      <c r="K53" s="438"/>
      <c r="L53" s="437">
        <f>IF(J53="",0,J53/$J$75)</f>
        <v>9.7545907913174773E-2</v>
      </c>
      <c r="M53" s="238"/>
      <c r="N53" s="238"/>
      <c r="O53" s="238"/>
      <c r="P53" s="238"/>
      <c r="Q53" s="238"/>
      <c r="R53" s="238"/>
      <c r="S53" s="238"/>
      <c r="T53" s="238"/>
      <c r="U53" s="272"/>
      <c r="V53" s="233"/>
      <c r="W53" s="233"/>
      <c r="X53" s="233"/>
      <c r="Y53" s="233"/>
      <c r="Z53" s="233"/>
    </row>
    <row r="54" spans="1:26" ht="15">
      <c r="A54" s="272"/>
      <c r="B54" s="238"/>
      <c r="C54" s="464" t="s">
        <v>287</v>
      </c>
      <c r="D54" s="464"/>
      <c r="E54" s="203">
        <v>20</v>
      </c>
      <c r="F54" s="115"/>
      <c r="G54" s="458">
        <v>75</v>
      </c>
      <c r="H54" s="122">
        <f>(1-(1/(1+$E$11))^E54)/$E$11</f>
        <v>14.877474860455509</v>
      </c>
      <c r="I54" s="173">
        <f>H54</f>
        <v>14.877474860455509</v>
      </c>
      <c r="J54" s="435">
        <f>G54*I54</f>
        <v>1115.8106145341633</v>
      </c>
      <c r="K54" s="438"/>
      <c r="L54" s="437">
        <f>IF(J54="",0,J54/$J$75)</f>
        <v>6.0966192445734244E-2</v>
      </c>
      <c r="M54" s="238"/>
      <c r="N54" s="238"/>
      <c r="O54" s="238"/>
      <c r="P54" s="238"/>
      <c r="Q54" s="238"/>
      <c r="R54" s="238"/>
      <c r="S54" s="238"/>
      <c r="T54" s="238"/>
      <c r="U54" s="272"/>
      <c r="V54" s="233"/>
      <c r="W54" s="233"/>
      <c r="X54" s="233"/>
      <c r="Y54" s="233"/>
      <c r="Z54" s="233"/>
    </row>
    <row r="55" spans="1:26" ht="15">
      <c r="A55" s="272"/>
      <c r="B55" s="238"/>
      <c r="C55" s="464" t="s">
        <v>279</v>
      </c>
      <c r="D55" s="464"/>
      <c r="E55" s="203"/>
      <c r="F55" s="115"/>
      <c r="G55" s="458"/>
      <c r="H55" s="122">
        <f>(1-(1/(1+$E$11))^E55)/$E$11</f>
        <v>0</v>
      </c>
      <c r="I55" s="173">
        <f>H55</f>
        <v>0</v>
      </c>
      <c r="J55" s="435">
        <f>G55*I55</f>
        <v>0</v>
      </c>
      <c r="K55" s="438"/>
      <c r="L55" s="437">
        <f>IF(J55="",0,J55/$J$75)</f>
        <v>0</v>
      </c>
      <c r="M55" s="238"/>
      <c r="N55" s="238"/>
      <c r="O55" s="238"/>
      <c r="P55" s="238"/>
      <c r="Q55" s="238"/>
      <c r="R55" s="238"/>
      <c r="S55" s="238"/>
      <c r="T55" s="238"/>
      <c r="U55" s="272"/>
      <c r="V55" s="233"/>
      <c r="W55" s="233"/>
      <c r="X55" s="233"/>
      <c r="Y55" s="233"/>
      <c r="Z55" s="233"/>
    </row>
    <row r="56" spans="1:26" ht="15">
      <c r="A56" s="272"/>
      <c r="B56" s="238"/>
      <c r="C56" s="464" t="s">
        <v>280</v>
      </c>
      <c r="D56" s="464"/>
      <c r="E56" s="203"/>
      <c r="F56" s="115"/>
      <c r="G56" s="457"/>
      <c r="H56" s="122">
        <f>(1-(1/(1+$E$11))^E56)/$E$11</f>
        <v>0</v>
      </c>
      <c r="I56" s="173">
        <f>H56</f>
        <v>0</v>
      </c>
      <c r="J56" s="435">
        <f>G56*I56</f>
        <v>0</v>
      </c>
      <c r="K56" s="438"/>
      <c r="L56" s="437">
        <f>IF(J56="",0,J56/$J$75)</f>
        <v>0</v>
      </c>
      <c r="M56" s="238"/>
      <c r="N56" s="238"/>
      <c r="O56" s="238"/>
      <c r="P56" s="238"/>
      <c r="Q56" s="238"/>
      <c r="R56" s="238"/>
      <c r="S56" s="238"/>
      <c r="T56" s="238"/>
      <c r="U56" s="272"/>
      <c r="V56" s="233"/>
      <c r="W56" s="233"/>
      <c r="X56" s="233"/>
      <c r="Y56" s="233"/>
      <c r="Z56" s="233"/>
    </row>
    <row r="57" spans="1:26" ht="15.75" thickBot="1">
      <c r="A57" s="272"/>
      <c r="B57" s="238"/>
      <c r="C57" s="464" t="s">
        <v>281</v>
      </c>
      <c r="D57" s="464"/>
      <c r="E57" s="203"/>
      <c r="F57" s="115"/>
      <c r="G57" s="457"/>
      <c r="H57" s="122">
        <f>(1-(1/(1+$E$11))^E57)/$E$11</f>
        <v>0</v>
      </c>
      <c r="I57" s="173">
        <f>H57</f>
        <v>0</v>
      </c>
      <c r="J57" s="435">
        <f>G57*I57</f>
        <v>0</v>
      </c>
      <c r="K57" s="438"/>
      <c r="L57" s="437">
        <f>IF(J57="",0,J57/$J$75)</f>
        <v>0</v>
      </c>
      <c r="M57" s="238"/>
      <c r="N57" s="238"/>
      <c r="O57" s="238"/>
      <c r="P57" s="238"/>
      <c r="Q57" s="238"/>
      <c r="R57" s="238"/>
      <c r="S57" s="238"/>
      <c r="T57" s="238"/>
      <c r="U57" s="272"/>
      <c r="V57" s="233"/>
      <c r="W57" s="233"/>
      <c r="X57" s="233"/>
      <c r="Y57" s="233"/>
      <c r="Z57" s="233"/>
    </row>
    <row r="58" spans="1:26" ht="17.25" hidden="1" customHeight="1" thickBot="1">
      <c r="A58" s="272"/>
      <c r="B58" s="238"/>
      <c r="C58" s="124"/>
      <c r="D58" s="3"/>
      <c r="E58" s="39"/>
      <c r="F58" s="125"/>
      <c r="G58" s="119"/>
      <c r="H58" s="122"/>
      <c r="I58" s="126"/>
      <c r="J58" s="119">
        <f>SUM(J53:J57)</f>
        <v>2901.107597788824</v>
      </c>
      <c r="K58" s="113"/>
      <c r="L58" s="114"/>
      <c r="M58" s="238"/>
      <c r="N58" s="238"/>
      <c r="O58" s="238"/>
      <c r="P58" s="238"/>
      <c r="Q58" s="238"/>
      <c r="R58" s="238"/>
      <c r="S58" s="238"/>
      <c r="T58" s="238"/>
      <c r="U58" s="272"/>
      <c r="V58" s="233"/>
      <c r="W58" s="233"/>
      <c r="X58" s="233"/>
      <c r="Y58" s="233"/>
      <c r="Z58" s="233"/>
    </row>
    <row r="59" spans="1:26" ht="18" customHeight="1" thickTop="1" thickBot="1">
      <c r="A59" s="272"/>
      <c r="B59" s="238"/>
      <c r="C59" s="695" t="s">
        <v>302</v>
      </c>
      <c r="D59" s="696"/>
      <c r="E59" s="696"/>
      <c r="F59" s="696"/>
      <c r="G59" s="696"/>
      <c r="H59" s="696"/>
      <c r="I59" s="697"/>
      <c r="J59" s="455">
        <f>SUM(J53:J57)</f>
        <v>2901.107597788824</v>
      </c>
      <c r="K59" s="42"/>
      <c r="L59" s="456">
        <f>J59/$J$75</f>
        <v>0.158512100358909</v>
      </c>
      <c r="M59" s="238"/>
      <c r="N59" s="238"/>
      <c r="O59" s="238"/>
      <c r="P59" s="238"/>
      <c r="Q59" s="238"/>
      <c r="R59" s="238"/>
      <c r="S59" s="238"/>
      <c r="T59" s="238"/>
      <c r="U59" s="272"/>
      <c r="V59" s="233"/>
      <c r="W59" s="233"/>
      <c r="X59" s="233"/>
      <c r="Y59" s="233"/>
      <c r="Z59" s="233"/>
    </row>
    <row r="60" spans="1:26" ht="15.75" thickTop="1">
      <c r="A60" s="272"/>
      <c r="B60" s="238"/>
      <c r="C60" s="711" t="s">
        <v>282</v>
      </c>
      <c r="D60" s="712"/>
      <c r="E60" s="712"/>
      <c r="F60" s="712"/>
      <c r="G60" s="712"/>
      <c r="H60" s="712"/>
      <c r="I60" s="712"/>
      <c r="J60" s="713"/>
      <c r="K60" s="113"/>
      <c r="L60" s="431"/>
      <c r="M60" s="238"/>
      <c r="N60" s="238"/>
      <c r="O60" s="238"/>
      <c r="P60" s="238"/>
      <c r="Q60" s="238"/>
      <c r="R60" s="238"/>
      <c r="S60" s="238"/>
      <c r="T60" s="238"/>
      <c r="U60" s="272"/>
      <c r="V60" s="233"/>
      <c r="W60" s="233"/>
      <c r="X60" s="233"/>
      <c r="Y60" s="233"/>
      <c r="Z60" s="233"/>
    </row>
    <row r="61" spans="1:26" ht="15.75" thickBot="1">
      <c r="A61" s="272"/>
      <c r="B61" s="238"/>
      <c r="C61" s="474" t="s">
        <v>283</v>
      </c>
      <c r="D61" s="474"/>
      <c r="E61" s="203">
        <v>20</v>
      </c>
      <c r="F61" s="115"/>
      <c r="G61" s="452">
        <v>200</v>
      </c>
      <c r="H61" s="122">
        <f>(1-(1/(1+J45))^E61)/J45</f>
        <v>16.35143334459714</v>
      </c>
      <c r="I61" s="173">
        <f>H61</f>
        <v>16.35143334459714</v>
      </c>
      <c r="J61" s="435">
        <f>G61*I61</f>
        <v>3270.2866689194279</v>
      </c>
      <c r="K61" s="438"/>
      <c r="L61" s="437">
        <f>IF(J61="",0,J61/$J$75)</f>
        <v>0.17868348249518881</v>
      </c>
      <c r="M61" s="238"/>
      <c r="N61" s="238"/>
      <c r="O61" s="238"/>
      <c r="P61" s="238"/>
      <c r="Q61" s="238"/>
      <c r="R61" s="238"/>
      <c r="S61" s="238"/>
      <c r="T61" s="238"/>
      <c r="U61" s="272"/>
      <c r="V61" s="233"/>
      <c r="W61" s="233"/>
      <c r="X61" s="233"/>
      <c r="Y61" s="233"/>
      <c r="Z61" s="233"/>
    </row>
    <row r="62" spans="1:26" ht="16.5" customHeight="1" thickTop="1" thickBot="1">
      <c r="A62" s="272"/>
      <c r="B62" s="238"/>
      <c r="C62" s="695" t="s">
        <v>303</v>
      </c>
      <c r="D62" s="696"/>
      <c r="E62" s="696"/>
      <c r="F62" s="696"/>
      <c r="G62" s="696"/>
      <c r="H62" s="696"/>
      <c r="I62" s="697"/>
      <c r="J62" s="455">
        <f>SUM(J61)</f>
        <v>3270.2866689194279</v>
      </c>
      <c r="K62" s="42"/>
      <c r="L62" s="456">
        <f>J62/$J$75</f>
        <v>0.17868348249518881</v>
      </c>
      <c r="M62" s="238"/>
      <c r="N62" s="238"/>
      <c r="O62" s="238"/>
      <c r="P62" s="238"/>
      <c r="Q62" s="238"/>
      <c r="R62" s="238"/>
      <c r="S62" s="238"/>
      <c r="T62" s="238"/>
      <c r="U62" s="272"/>
      <c r="V62" s="233"/>
      <c r="W62" s="233"/>
      <c r="X62" s="233"/>
      <c r="Y62" s="233"/>
      <c r="Z62" s="233"/>
    </row>
    <row r="63" spans="1:26" ht="30.75" thickTop="1">
      <c r="A63" s="272"/>
      <c r="B63" s="238"/>
      <c r="C63" s="689" t="s">
        <v>284</v>
      </c>
      <c r="D63" s="690"/>
      <c r="E63" s="475" t="s">
        <v>420</v>
      </c>
      <c r="F63" s="463"/>
      <c r="G63" s="681"/>
      <c r="H63" s="681"/>
      <c r="I63" s="681"/>
      <c r="J63" s="682"/>
      <c r="K63" s="113"/>
      <c r="L63" s="468"/>
      <c r="M63" s="238"/>
      <c r="N63" s="238"/>
      <c r="O63" s="238"/>
      <c r="P63" s="238"/>
      <c r="Q63" s="238"/>
      <c r="R63" s="238"/>
      <c r="S63" s="238"/>
      <c r="T63" s="238"/>
      <c r="U63" s="272"/>
      <c r="V63" s="233"/>
      <c r="W63" s="233"/>
      <c r="X63" s="233"/>
      <c r="Y63" s="233"/>
      <c r="Z63" s="233"/>
    </row>
    <row r="64" spans="1:26" ht="15">
      <c r="A64" s="272"/>
      <c r="B64" s="238"/>
      <c r="C64" s="474" t="s">
        <v>425</v>
      </c>
      <c r="D64" s="474"/>
      <c r="E64" s="469">
        <v>8</v>
      </c>
      <c r="F64" s="121"/>
      <c r="G64" s="452">
        <v>1500</v>
      </c>
      <c r="H64" s="123">
        <f t="shared" ref="H64:H69" si="1">1/(1+$E$11)^E64</f>
        <v>0.78940923431393573</v>
      </c>
      <c r="I64" s="173">
        <f t="shared" ref="I64:I69" si="2">IF(H64=1,"",H64)</f>
        <v>0.78940923431393573</v>
      </c>
      <c r="J64" s="435">
        <f t="shared" ref="J64:J69" si="3">IF(I64="","",G64*I64)</f>
        <v>1184.1138514709037</v>
      </c>
      <c r="K64" s="438"/>
      <c r="L64" s="437">
        <f t="shared" ref="L64:L69" si="4">IF(J64="",0,J64/$J$75)</f>
        <v>6.4698177276771546E-2</v>
      </c>
      <c r="M64" s="238"/>
      <c r="N64" s="238"/>
      <c r="O64" s="238"/>
      <c r="P64" s="238"/>
      <c r="Q64" s="238"/>
      <c r="R64" s="238"/>
      <c r="S64" s="238"/>
      <c r="T64" s="238"/>
      <c r="U64" s="272"/>
      <c r="V64" s="233"/>
      <c r="W64" s="233"/>
      <c r="X64" s="233"/>
      <c r="Y64" s="233"/>
      <c r="Z64" s="233"/>
    </row>
    <row r="65" spans="1:26" ht="15">
      <c r="A65" s="272"/>
      <c r="B65" s="238"/>
      <c r="C65" s="474" t="s">
        <v>426</v>
      </c>
      <c r="D65" s="474"/>
      <c r="E65" s="470">
        <v>16</v>
      </c>
      <c r="F65" s="121"/>
      <c r="G65" s="458">
        <v>1500</v>
      </c>
      <c r="H65" s="123">
        <f t="shared" si="1"/>
        <v>0.62316693922011435</v>
      </c>
      <c r="I65" s="173">
        <f t="shared" si="2"/>
        <v>0.62316693922011435</v>
      </c>
      <c r="J65" s="435">
        <f t="shared" si="3"/>
        <v>934.75040883017152</v>
      </c>
      <c r="K65" s="438"/>
      <c r="L65" s="437">
        <f t="shared" si="4"/>
        <v>5.1073338585563496E-2</v>
      </c>
      <c r="M65" s="238"/>
      <c r="N65" s="238"/>
      <c r="O65" s="238"/>
      <c r="P65" s="238"/>
      <c r="Q65" s="238"/>
      <c r="R65" s="238"/>
      <c r="S65" s="238"/>
      <c r="T65" s="238"/>
      <c r="U65" s="272"/>
      <c r="V65" s="233"/>
      <c r="W65" s="233"/>
      <c r="X65" s="233"/>
      <c r="Y65" s="233"/>
      <c r="Z65" s="233"/>
    </row>
    <row r="66" spans="1:26" ht="15">
      <c r="A66" s="272"/>
      <c r="B66" s="238"/>
      <c r="C66" s="474" t="s">
        <v>427</v>
      </c>
      <c r="D66" s="474"/>
      <c r="E66" s="470"/>
      <c r="F66" s="121"/>
      <c r="G66" s="458"/>
      <c r="H66" s="123">
        <f t="shared" si="1"/>
        <v>1</v>
      </c>
      <c r="I66" s="173" t="str">
        <f t="shared" si="2"/>
        <v/>
      </c>
      <c r="J66" s="435" t="str">
        <f t="shared" si="3"/>
        <v/>
      </c>
      <c r="K66" s="438"/>
      <c r="L66" s="437">
        <f t="shared" si="4"/>
        <v>0</v>
      </c>
      <c r="M66" s="238"/>
      <c r="N66" s="238"/>
      <c r="O66" s="238"/>
      <c r="P66" s="238"/>
      <c r="Q66" s="238"/>
      <c r="R66" s="238"/>
      <c r="S66" s="238"/>
      <c r="T66" s="238"/>
      <c r="U66" s="272"/>
      <c r="V66" s="233"/>
      <c r="W66" s="233"/>
      <c r="X66" s="233"/>
      <c r="Y66" s="233"/>
      <c r="Z66" s="233"/>
    </row>
    <row r="67" spans="1:26" ht="17.25">
      <c r="A67" s="272"/>
      <c r="B67" s="238"/>
      <c r="C67" s="474" t="s">
        <v>507</v>
      </c>
      <c r="D67" s="474"/>
      <c r="E67" s="471">
        <v>5</v>
      </c>
      <c r="F67" s="121"/>
      <c r="G67" s="457">
        <v>1200</v>
      </c>
      <c r="H67" s="123">
        <f t="shared" si="1"/>
        <v>0.86260878438416411</v>
      </c>
      <c r="I67" s="173">
        <f t="shared" si="2"/>
        <v>0.86260878438416411</v>
      </c>
      <c r="J67" s="435">
        <f t="shared" si="3"/>
        <v>1035.130541260997</v>
      </c>
      <c r="K67" s="438"/>
      <c r="L67" s="437">
        <f t="shared" si="4"/>
        <v>5.6557956128891793E-2</v>
      </c>
      <c r="M67" s="238"/>
      <c r="N67" s="238"/>
      <c r="O67" s="238"/>
      <c r="P67" s="238"/>
      <c r="Q67" s="238"/>
      <c r="R67" s="238"/>
      <c r="S67" s="238"/>
      <c r="T67" s="238"/>
      <c r="U67" s="272"/>
      <c r="V67" s="233"/>
      <c r="W67" s="233"/>
      <c r="X67" s="233"/>
      <c r="Y67" s="233"/>
      <c r="Z67" s="233"/>
    </row>
    <row r="68" spans="1:26" ht="15">
      <c r="A68" s="272"/>
      <c r="B68" s="238"/>
      <c r="C68" s="474" t="s">
        <v>508</v>
      </c>
      <c r="D68" s="474"/>
      <c r="E68" s="471">
        <v>10</v>
      </c>
      <c r="F68" s="121"/>
      <c r="G68" s="457">
        <v>1200</v>
      </c>
      <c r="H68" s="123">
        <f t="shared" si="1"/>
        <v>0.74409391489672516</v>
      </c>
      <c r="I68" s="173">
        <f t="shared" si="2"/>
        <v>0.74409391489672516</v>
      </c>
      <c r="J68" s="435">
        <f t="shared" si="3"/>
        <v>892.91269787607018</v>
      </c>
      <c r="K68" s="438"/>
      <c r="L68" s="437">
        <f t="shared" si="4"/>
        <v>4.8787389783596216E-2</v>
      </c>
      <c r="M68" s="238"/>
      <c r="N68" s="238"/>
      <c r="O68" s="238"/>
      <c r="P68" s="238"/>
      <c r="Q68" s="238"/>
      <c r="R68" s="238"/>
      <c r="S68" s="238"/>
      <c r="T68" s="238"/>
      <c r="U68" s="272"/>
      <c r="V68" s="233"/>
      <c r="W68" s="233"/>
      <c r="X68" s="233"/>
      <c r="Y68" s="233"/>
      <c r="Z68" s="233"/>
    </row>
    <row r="69" spans="1:26" ht="18" thickBot="1">
      <c r="A69" s="272"/>
      <c r="B69" s="238"/>
      <c r="C69" s="474" t="s">
        <v>509</v>
      </c>
      <c r="D69" s="474"/>
      <c r="E69" s="471">
        <v>15</v>
      </c>
      <c r="F69" s="121"/>
      <c r="G69" s="457">
        <v>1200</v>
      </c>
      <c r="H69" s="123">
        <f t="shared" si="1"/>
        <v>0.64186194739671765</v>
      </c>
      <c r="I69" s="173">
        <f t="shared" si="2"/>
        <v>0.64186194739671765</v>
      </c>
      <c r="J69" s="435">
        <f t="shared" si="3"/>
        <v>770.23433687606121</v>
      </c>
      <c r="K69" s="438"/>
      <c r="L69" s="437">
        <f t="shared" si="4"/>
        <v>4.2084430994504318E-2</v>
      </c>
      <c r="M69" s="238"/>
      <c r="N69" s="238"/>
      <c r="O69" s="238"/>
      <c r="P69" s="238"/>
      <c r="Q69" s="238"/>
      <c r="R69" s="238"/>
      <c r="S69" s="238"/>
      <c r="T69" s="238"/>
      <c r="U69" s="272"/>
      <c r="V69" s="233"/>
      <c r="W69" s="233"/>
      <c r="X69" s="233"/>
      <c r="Y69" s="233"/>
      <c r="Z69" s="233"/>
    </row>
    <row r="70" spans="1:26" ht="15.75" customHeight="1" thickTop="1" thickBot="1">
      <c r="A70" s="272"/>
      <c r="B70" s="238"/>
      <c r="C70" s="695" t="s">
        <v>301</v>
      </c>
      <c r="D70" s="696"/>
      <c r="E70" s="696"/>
      <c r="F70" s="696"/>
      <c r="G70" s="696"/>
      <c r="H70" s="696"/>
      <c r="I70" s="697"/>
      <c r="J70" s="455">
        <f>SUM(J64:J69)</f>
        <v>4817.1418363142038</v>
      </c>
      <c r="K70" s="42"/>
      <c r="L70" s="456">
        <f>J70/$J$75</f>
        <v>0.26320129276932736</v>
      </c>
      <c r="M70" s="238"/>
      <c r="N70" s="238"/>
      <c r="O70" s="238"/>
      <c r="P70" s="238"/>
      <c r="Q70" s="238"/>
      <c r="R70" s="238"/>
      <c r="S70" s="238"/>
      <c r="T70" s="238"/>
      <c r="U70" s="272"/>
      <c r="V70" s="233"/>
      <c r="W70" s="233"/>
      <c r="X70" s="233"/>
      <c r="Y70" s="233"/>
      <c r="Z70" s="233"/>
    </row>
    <row r="71" spans="1:26" ht="16.5" thickTop="1" thickBot="1">
      <c r="A71" s="272"/>
      <c r="B71" s="238"/>
      <c r="C71" s="689" t="s">
        <v>285</v>
      </c>
      <c r="D71" s="690"/>
      <c r="E71" s="475"/>
      <c r="F71" s="463"/>
      <c r="G71" s="681"/>
      <c r="H71" s="681"/>
      <c r="I71" s="681"/>
      <c r="J71" s="682"/>
      <c r="K71" s="113"/>
      <c r="L71" s="468"/>
      <c r="M71" s="238"/>
      <c r="N71" s="238"/>
      <c r="O71" s="238"/>
      <c r="P71" s="238"/>
      <c r="Q71" s="238"/>
      <c r="R71" s="238"/>
      <c r="S71" s="238"/>
      <c r="T71" s="238"/>
      <c r="U71" s="272"/>
      <c r="V71" s="233"/>
      <c r="W71" s="233"/>
      <c r="X71" s="233"/>
      <c r="Y71" s="233"/>
      <c r="Z71" s="233"/>
    </row>
    <row r="72" spans="1:26" ht="16.5" thickTop="1" thickBot="1">
      <c r="A72" s="272"/>
      <c r="B72" s="238"/>
      <c r="C72" s="474" t="s">
        <v>288</v>
      </c>
      <c r="D72" s="472">
        <v>0.2</v>
      </c>
      <c r="E72" s="203">
        <v>20</v>
      </c>
      <c r="F72" s="121"/>
      <c r="G72" s="435">
        <f>E73*D72</f>
        <v>1560</v>
      </c>
      <c r="H72" s="123">
        <f>1/(1+$E$9)^E72</f>
        <v>0.31180472688608429</v>
      </c>
      <c r="I72" s="173">
        <f>H72</f>
        <v>0.31180472688608429</v>
      </c>
      <c r="J72" s="467">
        <f>G72*I72</f>
        <v>486.41537394229152</v>
      </c>
      <c r="K72" s="113"/>
      <c r="L72" s="456">
        <f>IF(J72="",0,J72/$J$75)</f>
        <v>2.6576995154961914E-2</v>
      </c>
      <c r="M72" s="238"/>
      <c r="N72" s="238"/>
      <c r="O72" s="238"/>
      <c r="P72" s="238"/>
      <c r="Q72" s="238"/>
      <c r="R72" s="238"/>
      <c r="S72" s="238"/>
      <c r="T72" s="238"/>
      <c r="U72" s="272"/>
      <c r="V72" s="233"/>
      <c r="W72" s="233"/>
      <c r="X72" s="233"/>
      <c r="Y72" s="233"/>
      <c r="Z72" s="233"/>
    </row>
    <row r="73" spans="1:26" ht="15.75" thickTop="1">
      <c r="A73" s="272"/>
      <c r="B73" s="238"/>
      <c r="C73" s="474" t="s">
        <v>289</v>
      </c>
      <c r="D73" s="474"/>
      <c r="E73" s="435">
        <f>G50</f>
        <v>7800</v>
      </c>
      <c r="F73" s="121"/>
      <c r="G73" s="683"/>
      <c r="H73" s="684"/>
      <c r="I73" s="684"/>
      <c r="J73" s="685"/>
      <c r="K73" s="113"/>
      <c r="L73" s="468"/>
      <c r="M73" s="238"/>
      <c r="N73" s="238"/>
      <c r="O73" s="238"/>
      <c r="P73" s="238"/>
      <c r="Q73" s="238"/>
      <c r="R73" s="238"/>
      <c r="S73" s="238"/>
      <c r="T73" s="238"/>
      <c r="U73" s="272"/>
      <c r="V73" s="233"/>
      <c r="W73" s="233"/>
      <c r="X73" s="233"/>
      <c r="Y73" s="233"/>
      <c r="Z73" s="233"/>
    </row>
    <row r="74" spans="1:26" ht="4.5" customHeight="1" thickBot="1">
      <c r="A74" s="272"/>
      <c r="B74" s="238"/>
      <c r="C74" s="42"/>
      <c r="D74" s="42"/>
      <c r="E74" s="42"/>
      <c r="F74" s="42"/>
      <c r="G74" s="42"/>
      <c r="H74" s="42"/>
      <c r="I74" s="42"/>
      <c r="J74" s="42"/>
      <c r="K74" s="113"/>
      <c r="L74" s="44"/>
      <c r="M74" s="238"/>
      <c r="N74" s="238"/>
      <c r="O74" s="238"/>
      <c r="P74" s="238"/>
      <c r="Q74" s="238"/>
      <c r="R74" s="238"/>
      <c r="S74" s="238"/>
      <c r="T74" s="238"/>
      <c r="U74" s="272"/>
      <c r="V74" s="233"/>
      <c r="W74" s="233"/>
      <c r="X74" s="233"/>
      <c r="Y74" s="233"/>
      <c r="Z74" s="233"/>
    </row>
    <row r="75" spans="1:26" ht="16.5" thickTop="1" thickBot="1">
      <c r="A75" s="272"/>
      <c r="B75" s="238"/>
      <c r="C75" s="238"/>
      <c r="D75" s="238"/>
      <c r="E75" s="238"/>
      <c r="F75" s="127"/>
      <c r="G75" s="686" t="s">
        <v>286</v>
      </c>
      <c r="H75" s="687"/>
      <c r="I75" s="688"/>
      <c r="J75" s="455">
        <f>J50+J58+J61+J70-J72</f>
        <v>18302.120729080165</v>
      </c>
      <c r="K75" s="113"/>
      <c r="L75" s="456">
        <f>IF(J75="",0,J75/$J$75)</f>
        <v>1</v>
      </c>
      <c r="M75" s="238"/>
      <c r="N75" s="238"/>
      <c r="O75" s="238"/>
      <c r="P75" s="238"/>
      <c r="Q75" s="238"/>
      <c r="R75" s="238"/>
      <c r="S75" s="238"/>
      <c r="T75" s="238"/>
      <c r="U75" s="272"/>
      <c r="V75" s="233"/>
      <c r="W75" s="233"/>
      <c r="X75" s="233"/>
      <c r="Y75" s="233"/>
      <c r="Z75" s="233"/>
    </row>
    <row r="76" spans="1:26" ht="14.25" thickTop="1" thickBot="1">
      <c r="A76" s="272"/>
      <c r="B76" s="285"/>
      <c r="C76" s="288"/>
      <c r="D76" s="288"/>
      <c r="E76" s="288"/>
      <c r="F76" s="479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9"/>
      <c r="V76" s="233"/>
      <c r="W76" s="233"/>
      <c r="X76" s="233"/>
      <c r="Y76" s="233"/>
      <c r="Z76" s="233"/>
    </row>
    <row r="77" spans="1:26">
      <c r="A77" s="233"/>
      <c r="B77" s="233"/>
      <c r="C77" s="233"/>
      <c r="D77" s="233"/>
      <c r="E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33"/>
      <c r="Z77" s="233"/>
    </row>
    <row r="78" spans="1:26">
      <c r="A78" s="233"/>
      <c r="B78" s="233"/>
      <c r="C78" s="233"/>
      <c r="D78" s="233"/>
      <c r="E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33"/>
      <c r="Z78" s="233"/>
    </row>
    <row r="79" spans="1:26">
      <c r="A79" s="233"/>
      <c r="B79" s="233"/>
      <c r="C79" s="233"/>
      <c r="D79" s="233"/>
      <c r="E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33"/>
      <c r="Z79" s="233"/>
    </row>
    <row r="80" spans="1:26">
      <c r="A80" s="233"/>
      <c r="B80" s="233"/>
      <c r="C80" s="233"/>
      <c r="D80" s="233"/>
      <c r="E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33"/>
      <c r="Z80" s="233"/>
    </row>
    <row r="81" spans="1:26">
      <c r="A81" s="233"/>
      <c r="B81" s="233"/>
      <c r="C81" s="233"/>
      <c r="D81" s="233"/>
      <c r="E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33"/>
      <c r="Z81" s="233"/>
    </row>
  </sheetData>
  <mergeCells count="51">
    <mergeCell ref="G52:J52"/>
    <mergeCell ref="C59:I59"/>
    <mergeCell ref="C60:J60"/>
    <mergeCell ref="C49:J49"/>
    <mergeCell ref="C51:I51"/>
    <mergeCell ref="C52:D52"/>
    <mergeCell ref="L2:O2"/>
    <mergeCell ref="D4:G4"/>
    <mergeCell ref="L4:O4"/>
    <mergeCell ref="D2:G2"/>
    <mergeCell ref="C8:D8"/>
    <mergeCell ref="G8:I8"/>
    <mergeCell ref="C62:I62"/>
    <mergeCell ref="G63:J63"/>
    <mergeCell ref="C70:I70"/>
    <mergeCell ref="E7:J7"/>
    <mergeCell ref="G13:H13"/>
    <mergeCell ref="C11:D11"/>
    <mergeCell ref="G11:I11"/>
    <mergeCell ref="C9:D9"/>
    <mergeCell ref="G9:I9"/>
    <mergeCell ref="E13:F13"/>
    <mergeCell ref="C26:I26"/>
    <mergeCell ref="G29:J29"/>
    <mergeCell ref="C15:J15"/>
    <mergeCell ref="C20:I20"/>
    <mergeCell ref="E41:J41"/>
    <mergeCell ref="C42:D42"/>
    <mergeCell ref="G39:I39"/>
    <mergeCell ref="G37:J37"/>
    <mergeCell ref="C47:D47"/>
    <mergeCell ref="C35:D35"/>
    <mergeCell ref="C29:D29"/>
    <mergeCell ref="G42:I42"/>
    <mergeCell ref="C43:D43"/>
    <mergeCell ref="G43:I43"/>
    <mergeCell ref="C45:D45"/>
    <mergeCell ref="G45:I45"/>
    <mergeCell ref="E47:F47"/>
    <mergeCell ref="G47:H47"/>
    <mergeCell ref="C13:D13"/>
    <mergeCell ref="C21:D21"/>
    <mergeCell ref="C27:D27"/>
    <mergeCell ref="C34:I34"/>
    <mergeCell ref="G35:J35"/>
    <mergeCell ref="G21:J21"/>
    <mergeCell ref="G71:J71"/>
    <mergeCell ref="G73:J73"/>
    <mergeCell ref="G75:I75"/>
    <mergeCell ref="C63:D63"/>
    <mergeCell ref="C71:D71"/>
  </mergeCells>
  <phoneticPr fontId="12" type="noConversion"/>
  <printOptions horizontalCentered="1" verticalCentered="1"/>
  <pageMargins left="0" right="0" top="0" bottom="0" header="0" footer="0"/>
  <pageSetup paperSize="9" scale="49" orientation="landscape" horizontalDpi="200" verticalDpi="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12"/>
  <dimension ref="A1:O352"/>
  <sheetViews>
    <sheetView workbookViewId="0">
      <selection activeCell="N20" sqref="N20"/>
    </sheetView>
  </sheetViews>
  <sheetFormatPr baseColWidth="10" defaultRowHeight="12.75"/>
  <cols>
    <col min="1" max="1" width="4" style="7" customWidth="1"/>
    <col min="2" max="2" width="21.85546875" style="7" customWidth="1"/>
    <col min="3" max="3" width="13" style="7" bestFit="1" customWidth="1"/>
    <col min="4" max="16384" width="11.42578125" style="7"/>
  </cols>
  <sheetData>
    <row r="1" spans="1:15" ht="23.25" customHeight="1" thickBot="1">
      <c r="B1" s="5"/>
      <c r="C1" s="714" t="s">
        <v>237</v>
      </c>
      <c r="D1" s="715"/>
      <c r="E1" s="715"/>
      <c r="F1" s="715"/>
      <c r="G1" s="715"/>
      <c r="H1" s="715"/>
      <c r="I1" s="715"/>
      <c r="J1" s="715"/>
      <c r="K1" s="715"/>
      <c r="L1" s="715"/>
      <c r="M1" s="715"/>
      <c r="N1" s="716"/>
      <c r="O1" s="6" t="s">
        <v>119</v>
      </c>
    </row>
    <row r="2" spans="1:15">
      <c r="B2" s="8"/>
      <c r="C2" s="9" t="s">
        <v>16</v>
      </c>
      <c r="D2" s="10" t="s">
        <v>17</v>
      </c>
      <c r="E2" s="10" t="s">
        <v>18</v>
      </c>
      <c r="F2" s="10" t="s">
        <v>19</v>
      </c>
      <c r="G2" s="10" t="s">
        <v>20</v>
      </c>
      <c r="H2" s="10" t="s">
        <v>21</v>
      </c>
      <c r="I2" s="10" t="s">
        <v>22</v>
      </c>
      <c r="J2" s="10" t="s">
        <v>23</v>
      </c>
      <c r="K2" s="10" t="s">
        <v>103</v>
      </c>
      <c r="L2" s="10" t="s">
        <v>104</v>
      </c>
      <c r="M2" s="10" t="s">
        <v>105</v>
      </c>
      <c r="N2" s="11" t="s">
        <v>106</v>
      </c>
      <c r="O2" s="12"/>
    </row>
    <row r="3" spans="1:15">
      <c r="A3" s="7">
        <v>1</v>
      </c>
      <c r="B3" s="8" t="s">
        <v>59</v>
      </c>
      <c r="C3" s="13">
        <v>71</v>
      </c>
      <c r="D3" s="14">
        <v>84</v>
      </c>
      <c r="E3" s="14">
        <v>131</v>
      </c>
      <c r="F3" s="14">
        <v>161</v>
      </c>
      <c r="G3" s="14">
        <v>200</v>
      </c>
      <c r="H3" s="14">
        <v>225</v>
      </c>
      <c r="I3" s="14">
        <v>231</v>
      </c>
      <c r="J3" s="14">
        <v>205</v>
      </c>
      <c r="K3" s="14">
        <v>143</v>
      </c>
      <c r="L3" s="14">
        <v>97</v>
      </c>
      <c r="M3" s="14">
        <v>77</v>
      </c>
      <c r="N3" s="15">
        <v>61</v>
      </c>
      <c r="O3" s="16">
        <v>39</v>
      </c>
    </row>
    <row r="4" spans="1:15">
      <c r="A4" s="7">
        <f>A3+1</f>
        <v>2</v>
      </c>
      <c r="B4" s="8" t="s">
        <v>238</v>
      </c>
      <c r="C4" s="13">
        <v>66</v>
      </c>
      <c r="D4" s="14">
        <v>77</v>
      </c>
      <c r="E4" s="14">
        <v>141</v>
      </c>
      <c r="F4" s="14">
        <v>153</v>
      </c>
      <c r="G4" s="14">
        <v>204</v>
      </c>
      <c r="H4" s="14">
        <v>223</v>
      </c>
      <c r="I4" s="14">
        <v>230</v>
      </c>
      <c r="J4" s="14">
        <v>201</v>
      </c>
      <c r="K4" s="14">
        <v>151</v>
      </c>
      <c r="L4" s="14">
        <v>105</v>
      </c>
      <c r="M4" s="14">
        <v>64</v>
      </c>
      <c r="N4" s="15">
        <v>49</v>
      </c>
      <c r="O4" s="16">
        <v>40.47</v>
      </c>
    </row>
    <row r="5" spans="1:15">
      <c r="A5" s="7">
        <f t="shared" ref="A5:A68" si="0">A4+1</f>
        <v>3</v>
      </c>
      <c r="B5" s="8" t="s">
        <v>239</v>
      </c>
      <c r="C5" s="13">
        <v>67</v>
      </c>
      <c r="D5" s="14">
        <v>78</v>
      </c>
      <c r="E5" s="14">
        <v>142</v>
      </c>
      <c r="F5" s="14">
        <v>154</v>
      </c>
      <c r="G5" s="14">
        <v>205</v>
      </c>
      <c r="H5" s="14">
        <v>224</v>
      </c>
      <c r="I5" s="14">
        <v>230</v>
      </c>
      <c r="J5" s="14">
        <v>201</v>
      </c>
      <c r="K5" s="14">
        <v>151</v>
      </c>
      <c r="L5" s="14">
        <v>106</v>
      </c>
      <c r="M5" s="14">
        <v>65</v>
      </c>
      <c r="N5" s="15">
        <v>50</v>
      </c>
      <c r="O5" s="16">
        <v>40.35</v>
      </c>
    </row>
    <row r="6" spans="1:15">
      <c r="A6" s="7">
        <f t="shared" si="0"/>
        <v>4</v>
      </c>
      <c r="B6" s="8" t="s">
        <v>240</v>
      </c>
      <c r="C6" s="13">
        <v>79</v>
      </c>
      <c r="D6" s="14">
        <v>92</v>
      </c>
      <c r="E6" s="14">
        <v>148</v>
      </c>
      <c r="F6" s="14">
        <v>162</v>
      </c>
      <c r="G6" s="14">
        <v>208</v>
      </c>
      <c r="H6" s="14">
        <v>219</v>
      </c>
      <c r="I6" s="14">
        <v>237</v>
      </c>
      <c r="J6" s="14">
        <v>204</v>
      </c>
      <c r="K6" s="14">
        <v>163</v>
      </c>
      <c r="L6" s="14">
        <v>122</v>
      </c>
      <c r="M6" s="14">
        <v>76</v>
      </c>
      <c r="N6" s="15">
        <v>67</v>
      </c>
      <c r="O6" s="16">
        <v>36.130000000000003</v>
      </c>
    </row>
    <row r="7" spans="1:15">
      <c r="A7" s="7">
        <f t="shared" si="0"/>
        <v>5</v>
      </c>
      <c r="B7" s="8" t="s">
        <v>60</v>
      </c>
      <c r="C7" s="13">
        <v>79</v>
      </c>
      <c r="D7" s="14">
        <v>95</v>
      </c>
      <c r="E7" s="14">
        <v>145</v>
      </c>
      <c r="F7" s="14">
        <v>168</v>
      </c>
      <c r="G7" s="14">
        <v>203</v>
      </c>
      <c r="H7" s="14">
        <v>211</v>
      </c>
      <c r="I7" s="14">
        <v>224</v>
      </c>
      <c r="J7" s="14">
        <v>193</v>
      </c>
      <c r="K7" s="14">
        <v>153</v>
      </c>
      <c r="L7" s="14">
        <v>117</v>
      </c>
      <c r="M7" s="14">
        <v>75</v>
      </c>
      <c r="N7" s="15">
        <v>70</v>
      </c>
      <c r="O7" s="16">
        <v>38.35</v>
      </c>
    </row>
    <row r="8" spans="1:15">
      <c r="A8" s="7">
        <f t="shared" si="0"/>
        <v>6</v>
      </c>
      <c r="B8" s="8" t="s">
        <v>61</v>
      </c>
      <c r="C8" s="13">
        <v>80</v>
      </c>
      <c r="D8" s="14">
        <v>95</v>
      </c>
      <c r="E8" s="14">
        <v>145</v>
      </c>
      <c r="F8" s="14">
        <v>168</v>
      </c>
      <c r="G8" s="14">
        <v>203</v>
      </c>
      <c r="H8" s="14">
        <v>211</v>
      </c>
      <c r="I8" s="14">
        <v>225</v>
      </c>
      <c r="J8" s="14">
        <v>193</v>
      </c>
      <c r="K8" s="14">
        <v>153</v>
      </c>
      <c r="L8" s="14">
        <v>117</v>
      </c>
      <c r="M8" s="14">
        <v>75</v>
      </c>
      <c r="N8" s="15">
        <v>70</v>
      </c>
      <c r="O8" s="16">
        <v>36.83</v>
      </c>
    </row>
    <row r="9" spans="1:15">
      <c r="A9" s="7">
        <f t="shared" si="0"/>
        <v>7</v>
      </c>
      <c r="B9" s="8" t="s">
        <v>107</v>
      </c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  <c r="O9" s="16"/>
    </row>
    <row r="10" spans="1:15">
      <c r="A10" s="7">
        <f t="shared" si="0"/>
        <v>8</v>
      </c>
      <c r="B10" s="8" t="s">
        <v>62</v>
      </c>
      <c r="C10" s="13">
        <v>71</v>
      </c>
      <c r="D10" s="14">
        <v>82</v>
      </c>
      <c r="E10" s="14">
        <v>144</v>
      </c>
      <c r="F10" s="14">
        <v>155</v>
      </c>
      <c r="G10" s="14">
        <v>202</v>
      </c>
      <c r="H10" s="14">
        <v>217</v>
      </c>
      <c r="I10" s="14">
        <v>236</v>
      </c>
      <c r="J10" s="14">
        <v>213</v>
      </c>
      <c r="K10" s="14">
        <v>157</v>
      </c>
      <c r="L10" s="14">
        <v>115</v>
      </c>
      <c r="M10" s="14">
        <v>69</v>
      </c>
      <c r="N10" s="15">
        <v>58</v>
      </c>
      <c r="O10" s="16">
        <v>38.880000000000003</v>
      </c>
    </row>
    <row r="11" spans="1:15">
      <c r="A11" s="7">
        <f t="shared" si="0"/>
        <v>9</v>
      </c>
      <c r="B11" s="8" t="s">
        <v>241</v>
      </c>
      <c r="C11" s="13">
        <v>54</v>
      </c>
      <c r="D11" s="14">
        <v>69</v>
      </c>
      <c r="E11" s="14">
        <v>118</v>
      </c>
      <c r="F11" s="14">
        <v>142</v>
      </c>
      <c r="G11" s="14">
        <v>167</v>
      </c>
      <c r="H11" s="14">
        <v>187</v>
      </c>
      <c r="I11" s="14">
        <v>200</v>
      </c>
      <c r="J11" s="14">
        <v>175</v>
      </c>
      <c r="K11" s="14">
        <v>134</v>
      </c>
      <c r="L11" s="14">
        <v>93</v>
      </c>
      <c r="M11" s="14">
        <v>59</v>
      </c>
      <c r="N11" s="15">
        <v>49</v>
      </c>
      <c r="O11" s="16">
        <v>41.45</v>
      </c>
    </row>
    <row r="12" spans="1:15">
      <c r="A12" s="7">
        <f t="shared" si="0"/>
        <v>10</v>
      </c>
      <c r="B12" s="8" t="s">
        <v>242</v>
      </c>
      <c r="C12" s="13">
        <v>45</v>
      </c>
      <c r="D12" s="14">
        <v>59</v>
      </c>
      <c r="E12" s="14">
        <v>104</v>
      </c>
      <c r="F12" s="14">
        <v>126</v>
      </c>
      <c r="G12" s="14">
        <v>162</v>
      </c>
      <c r="H12" s="14">
        <v>169</v>
      </c>
      <c r="I12" s="14">
        <v>172</v>
      </c>
      <c r="J12" s="14">
        <v>150</v>
      </c>
      <c r="K12" s="14">
        <v>121</v>
      </c>
      <c r="L12" s="14">
        <v>82</v>
      </c>
      <c r="M12" s="14">
        <v>50</v>
      </c>
      <c r="N12" s="15">
        <v>38</v>
      </c>
      <c r="O12" s="16">
        <v>43.28</v>
      </c>
    </row>
    <row r="13" spans="1:15">
      <c r="A13" s="7">
        <f t="shared" si="0"/>
        <v>11</v>
      </c>
      <c r="B13" s="8" t="s">
        <v>98</v>
      </c>
      <c r="C13" s="13">
        <v>54</v>
      </c>
      <c r="D13" s="14">
        <v>69</v>
      </c>
      <c r="E13" s="14">
        <v>118</v>
      </c>
      <c r="F13" s="14">
        <v>142</v>
      </c>
      <c r="G13" s="14">
        <v>167</v>
      </c>
      <c r="H13" s="14">
        <v>187</v>
      </c>
      <c r="I13" s="14">
        <v>200</v>
      </c>
      <c r="J13" s="14">
        <v>175</v>
      </c>
      <c r="K13" s="14">
        <v>134</v>
      </c>
      <c r="L13" s="14">
        <v>93</v>
      </c>
      <c r="M13" s="14">
        <v>59</v>
      </c>
      <c r="N13" s="15">
        <v>49</v>
      </c>
      <c r="O13" s="16">
        <v>41.53</v>
      </c>
    </row>
    <row r="14" spans="1:15">
      <c r="A14" s="7">
        <f t="shared" si="0"/>
        <v>12</v>
      </c>
      <c r="B14" s="8" t="s">
        <v>243</v>
      </c>
      <c r="C14" s="13">
        <v>45</v>
      </c>
      <c r="D14" s="14">
        <v>59</v>
      </c>
      <c r="E14" s="14">
        <v>105</v>
      </c>
      <c r="F14" s="14">
        <v>126</v>
      </c>
      <c r="G14" s="14">
        <v>162</v>
      </c>
      <c r="H14" s="14">
        <v>170</v>
      </c>
      <c r="I14" s="14">
        <v>173</v>
      </c>
      <c r="J14" s="14">
        <v>150</v>
      </c>
      <c r="K14" s="14">
        <v>121</v>
      </c>
      <c r="L14" s="14">
        <v>82</v>
      </c>
      <c r="M14" s="14">
        <v>50</v>
      </c>
      <c r="N14" s="15">
        <v>38</v>
      </c>
      <c r="O14" s="16">
        <v>43.25</v>
      </c>
    </row>
    <row r="15" spans="1:15">
      <c r="A15" s="7">
        <f t="shared" si="0"/>
        <v>13</v>
      </c>
      <c r="B15" s="8" t="s">
        <v>63</v>
      </c>
      <c r="C15" s="13">
        <v>51</v>
      </c>
      <c r="D15" s="14">
        <v>68</v>
      </c>
      <c r="E15" s="14">
        <v>119</v>
      </c>
      <c r="F15" s="14">
        <v>137</v>
      </c>
      <c r="G15" s="14">
        <v>177</v>
      </c>
      <c r="H15" s="14">
        <v>196</v>
      </c>
      <c r="I15" s="14">
        <v>206</v>
      </c>
      <c r="J15" s="14">
        <v>182</v>
      </c>
      <c r="K15" s="14">
        <v>138</v>
      </c>
      <c r="L15" s="14">
        <v>93</v>
      </c>
      <c r="M15" s="14">
        <v>54</v>
      </c>
      <c r="N15" s="15">
        <v>42</v>
      </c>
      <c r="O15" s="16">
        <v>42.35</v>
      </c>
    </row>
    <row r="16" spans="1:15">
      <c r="A16" s="7">
        <f t="shared" si="0"/>
        <v>14</v>
      </c>
      <c r="B16" s="8" t="s">
        <v>108</v>
      </c>
      <c r="C16" s="13">
        <v>68</v>
      </c>
      <c r="D16" s="14">
        <v>80</v>
      </c>
      <c r="E16" s="14">
        <v>139</v>
      </c>
      <c r="F16" s="14">
        <v>151</v>
      </c>
      <c r="G16" s="14">
        <v>201</v>
      </c>
      <c r="H16" s="14">
        <v>212</v>
      </c>
      <c r="I16" s="14">
        <v>231</v>
      </c>
      <c r="J16" s="14">
        <v>207</v>
      </c>
      <c r="K16" s="14">
        <v>149</v>
      </c>
      <c r="L16" s="14">
        <v>110</v>
      </c>
      <c r="M16" s="14">
        <v>65</v>
      </c>
      <c r="N16" s="15">
        <v>52</v>
      </c>
      <c r="O16" s="16">
        <v>39.47</v>
      </c>
    </row>
    <row r="17" spans="1:15">
      <c r="A17" s="7">
        <f t="shared" si="0"/>
        <v>15</v>
      </c>
      <c r="B17" s="8" t="s">
        <v>64</v>
      </c>
      <c r="C17" s="13">
        <v>80</v>
      </c>
      <c r="D17" s="14">
        <v>92</v>
      </c>
      <c r="E17" s="14">
        <v>150</v>
      </c>
      <c r="F17" s="14">
        <v>164</v>
      </c>
      <c r="G17" s="14">
        <v>211</v>
      </c>
      <c r="H17" s="14">
        <v>222</v>
      </c>
      <c r="I17" s="14">
        <v>239</v>
      </c>
      <c r="J17" s="14">
        <v>207</v>
      </c>
      <c r="K17" s="14">
        <v>166</v>
      </c>
      <c r="L17" s="14">
        <v>124</v>
      </c>
      <c r="M17" s="14">
        <v>67</v>
      </c>
      <c r="N17" s="15">
        <v>68</v>
      </c>
      <c r="O17" s="16">
        <v>36.53</v>
      </c>
    </row>
    <row r="18" spans="1:15">
      <c r="A18" s="7">
        <f t="shared" si="0"/>
        <v>16</v>
      </c>
      <c r="B18" s="8" t="s">
        <v>244</v>
      </c>
      <c r="C18" s="13">
        <v>80</v>
      </c>
      <c r="D18" s="14">
        <v>95</v>
      </c>
      <c r="E18" s="14">
        <v>145</v>
      </c>
      <c r="F18" s="14">
        <v>168</v>
      </c>
      <c r="G18" s="14">
        <v>203</v>
      </c>
      <c r="H18" s="14">
        <v>211</v>
      </c>
      <c r="I18" s="14">
        <v>224</v>
      </c>
      <c r="J18" s="14">
        <v>193</v>
      </c>
      <c r="K18" s="14">
        <v>153</v>
      </c>
      <c r="L18" s="14">
        <v>117</v>
      </c>
      <c r="M18" s="14">
        <v>75</v>
      </c>
      <c r="N18" s="15">
        <v>70</v>
      </c>
      <c r="O18" s="16">
        <v>37.6</v>
      </c>
    </row>
    <row r="19" spans="1:15">
      <c r="A19" s="7">
        <f t="shared" si="0"/>
        <v>17</v>
      </c>
      <c r="B19" s="8" t="s">
        <v>65</v>
      </c>
      <c r="C19" s="13">
        <v>65</v>
      </c>
      <c r="D19" s="14">
        <v>79</v>
      </c>
      <c r="E19" s="14">
        <v>130</v>
      </c>
      <c r="F19" s="14">
        <v>159</v>
      </c>
      <c r="G19" s="14">
        <v>198</v>
      </c>
      <c r="H19" s="14">
        <v>211</v>
      </c>
      <c r="I19" s="14">
        <v>217</v>
      </c>
      <c r="J19" s="14">
        <v>191</v>
      </c>
      <c r="K19" s="14">
        <v>142</v>
      </c>
      <c r="L19" s="14">
        <v>106</v>
      </c>
      <c r="M19" s="14">
        <v>67</v>
      </c>
      <c r="N19" s="15">
        <v>56</v>
      </c>
      <c r="O19" s="16">
        <v>39.97</v>
      </c>
    </row>
    <row r="20" spans="1:15">
      <c r="A20" s="7">
        <f t="shared" si="0"/>
        <v>18</v>
      </c>
      <c r="B20" s="8" t="s">
        <v>66</v>
      </c>
      <c r="C20" s="13">
        <v>78</v>
      </c>
      <c r="D20" s="14">
        <v>91</v>
      </c>
      <c r="E20" s="14">
        <v>146</v>
      </c>
      <c r="F20" s="14">
        <v>161</v>
      </c>
      <c r="G20" s="14">
        <v>205</v>
      </c>
      <c r="H20" s="14">
        <v>216</v>
      </c>
      <c r="I20" s="14">
        <v>235</v>
      </c>
      <c r="J20" s="14">
        <v>202</v>
      </c>
      <c r="K20" s="14">
        <v>161</v>
      </c>
      <c r="L20" s="14">
        <v>120</v>
      </c>
      <c r="M20" s="14">
        <v>75</v>
      </c>
      <c r="N20" s="15">
        <v>67</v>
      </c>
      <c r="O20" s="16">
        <v>38.979999999999997</v>
      </c>
    </row>
    <row r="21" spans="1:15">
      <c r="A21" s="7">
        <f t="shared" si="0"/>
        <v>19</v>
      </c>
      <c r="B21" s="8" t="s">
        <v>102</v>
      </c>
      <c r="C21" s="13">
        <v>78</v>
      </c>
      <c r="D21" s="14">
        <v>91</v>
      </c>
      <c r="E21" s="14">
        <v>146</v>
      </c>
      <c r="F21" s="14">
        <v>161</v>
      </c>
      <c r="G21" s="14">
        <v>205</v>
      </c>
      <c r="H21" s="14">
        <v>216</v>
      </c>
      <c r="I21" s="14">
        <v>235</v>
      </c>
      <c r="J21" s="14">
        <v>202</v>
      </c>
      <c r="K21" s="14">
        <v>161</v>
      </c>
      <c r="L21" s="14">
        <v>120</v>
      </c>
      <c r="M21" s="14">
        <v>75</v>
      </c>
      <c r="N21" s="15">
        <v>67</v>
      </c>
      <c r="O21" s="16">
        <v>37.880000000000003</v>
      </c>
    </row>
    <row r="22" spans="1:15">
      <c r="A22" s="7">
        <f t="shared" si="0"/>
        <v>20</v>
      </c>
      <c r="B22" s="8" t="s">
        <v>68</v>
      </c>
      <c r="C22" s="13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5"/>
      <c r="O22" s="16"/>
    </row>
    <row r="23" spans="1:15">
      <c r="A23" s="7">
        <f t="shared" si="0"/>
        <v>21</v>
      </c>
      <c r="B23" s="8" t="s">
        <v>245</v>
      </c>
      <c r="C23" s="13">
        <v>80</v>
      </c>
      <c r="D23" s="14">
        <v>95</v>
      </c>
      <c r="E23" s="14">
        <v>145</v>
      </c>
      <c r="F23" s="14">
        <v>168</v>
      </c>
      <c r="G23" s="14">
        <v>203</v>
      </c>
      <c r="H23" s="14">
        <v>211</v>
      </c>
      <c r="I23" s="14">
        <v>224</v>
      </c>
      <c r="J23" s="14">
        <v>193</v>
      </c>
      <c r="K23" s="14">
        <v>153</v>
      </c>
      <c r="L23" s="14">
        <v>117</v>
      </c>
      <c r="M23" s="14">
        <v>75</v>
      </c>
      <c r="N23" s="15">
        <v>70</v>
      </c>
      <c r="O23" s="16">
        <v>38.28</v>
      </c>
    </row>
    <row r="24" spans="1:15">
      <c r="A24" s="7">
        <f t="shared" si="0"/>
        <v>22</v>
      </c>
      <c r="B24" s="8" t="s">
        <v>246</v>
      </c>
      <c r="C24" s="13">
        <v>67</v>
      </c>
      <c r="D24" s="14">
        <v>78</v>
      </c>
      <c r="E24" s="14">
        <v>142</v>
      </c>
      <c r="F24" s="14">
        <v>154</v>
      </c>
      <c r="G24" s="14">
        <v>205</v>
      </c>
      <c r="H24" s="14">
        <v>224</v>
      </c>
      <c r="I24" s="14">
        <v>230</v>
      </c>
      <c r="J24" s="14">
        <v>201</v>
      </c>
      <c r="K24" s="14">
        <v>151</v>
      </c>
      <c r="L24" s="14">
        <v>106</v>
      </c>
      <c r="M24" s="14">
        <v>65</v>
      </c>
      <c r="N24" s="15">
        <v>50</v>
      </c>
      <c r="O24" s="16">
        <v>40.270000000000003</v>
      </c>
    </row>
    <row r="25" spans="1:15">
      <c r="A25" s="7">
        <f t="shared" si="0"/>
        <v>23</v>
      </c>
      <c r="B25" s="8" t="s">
        <v>69</v>
      </c>
      <c r="C25" s="13">
        <v>67</v>
      </c>
      <c r="D25" s="14">
        <v>78</v>
      </c>
      <c r="E25" s="14">
        <v>142</v>
      </c>
      <c r="F25" s="14">
        <v>153</v>
      </c>
      <c r="G25" s="14">
        <v>204</v>
      </c>
      <c r="H25" s="14">
        <v>224</v>
      </c>
      <c r="I25" s="14">
        <v>230</v>
      </c>
      <c r="J25" s="14">
        <v>201</v>
      </c>
      <c r="K25" s="14">
        <v>151</v>
      </c>
      <c r="L25" s="14">
        <v>106</v>
      </c>
      <c r="M25" s="14">
        <v>65</v>
      </c>
      <c r="N25" s="15">
        <v>49</v>
      </c>
      <c r="O25" s="16">
        <v>40.299999999999997</v>
      </c>
    </row>
    <row r="26" spans="1:15">
      <c r="A26" s="7">
        <f t="shared" si="0"/>
        <v>24</v>
      </c>
      <c r="B26" s="8" t="s">
        <v>247</v>
      </c>
      <c r="C26" s="13">
        <v>45</v>
      </c>
      <c r="D26" s="14">
        <v>58</v>
      </c>
      <c r="E26" s="14">
        <v>103</v>
      </c>
      <c r="F26" s="14">
        <v>125</v>
      </c>
      <c r="G26" s="14">
        <v>161</v>
      </c>
      <c r="H26" s="14">
        <v>168</v>
      </c>
      <c r="I26" s="14">
        <v>170</v>
      </c>
      <c r="J26" s="14">
        <v>147</v>
      </c>
      <c r="K26" s="14">
        <v>120</v>
      </c>
      <c r="L26" s="14">
        <v>81</v>
      </c>
      <c r="M26" s="14">
        <v>50</v>
      </c>
      <c r="N26" s="15">
        <v>38</v>
      </c>
      <c r="O26" s="16">
        <v>43.53</v>
      </c>
    </row>
    <row r="27" spans="1:15">
      <c r="A27" s="7">
        <f t="shared" si="0"/>
        <v>25</v>
      </c>
      <c r="B27" s="8" t="s">
        <v>248</v>
      </c>
      <c r="C27" s="13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8" spans="1:15">
      <c r="A28" s="7">
        <f t="shared" si="0"/>
        <v>26</v>
      </c>
      <c r="B28" s="8" t="s">
        <v>72</v>
      </c>
      <c r="C28" s="13">
        <v>84</v>
      </c>
      <c r="D28" s="14">
        <v>99</v>
      </c>
      <c r="E28" s="14">
        <v>146</v>
      </c>
      <c r="F28" s="14">
        <v>165</v>
      </c>
      <c r="G28" s="14">
        <v>189</v>
      </c>
      <c r="H28" s="14">
        <v>225</v>
      </c>
      <c r="I28" s="14">
        <v>234</v>
      </c>
      <c r="J28" s="14">
        <v>214</v>
      </c>
      <c r="K28" s="14">
        <v>163</v>
      </c>
      <c r="L28" s="14">
        <v>116</v>
      </c>
      <c r="M28" s="14">
        <v>84</v>
      </c>
      <c r="N28" s="15">
        <v>79</v>
      </c>
      <c r="O28" s="16">
        <v>37.17</v>
      </c>
    </row>
    <row r="29" spans="1:15">
      <c r="A29" s="7">
        <f t="shared" si="0"/>
        <v>27</v>
      </c>
      <c r="B29" s="8" t="s">
        <v>70</v>
      </c>
      <c r="C29" s="13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  <c r="O29" s="16"/>
    </row>
    <row r="30" spans="1:15">
      <c r="A30" s="7">
        <f t="shared" si="0"/>
        <v>28</v>
      </c>
      <c r="B30" s="8" t="s">
        <v>249</v>
      </c>
      <c r="C30" s="13">
        <v>55</v>
      </c>
      <c r="D30" s="14">
        <v>70</v>
      </c>
      <c r="E30" s="14">
        <v>118</v>
      </c>
      <c r="F30" s="14">
        <v>143</v>
      </c>
      <c r="G30" s="14">
        <v>169</v>
      </c>
      <c r="H30" s="14">
        <v>188</v>
      </c>
      <c r="I30" s="14">
        <v>201</v>
      </c>
      <c r="J30" s="14">
        <v>176</v>
      </c>
      <c r="K30" s="14">
        <v>134</v>
      </c>
      <c r="L30" s="14">
        <v>94</v>
      </c>
      <c r="M30" s="14">
        <v>60</v>
      </c>
      <c r="N30" s="15">
        <v>49</v>
      </c>
      <c r="O30" s="16">
        <v>41.35</v>
      </c>
    </row>
    <row r="31" spans="1:15">
      <c r="A31" s="7">
        <f t="shared" si="0"/>
        <v>29</v>
      </c>
      <c r="B31" s="8" t="s">
        <v>99</v>
      </c>
      <c r="C31" s="13">
        <v>81</v>
      </c>
      <c r="D31" s="14">
        <v>93</v>
      </c>
      <c r="E31" s="14">
        <v>153</v>
      </c>
      <c r="F31" s="14">
        <v>167</v>
      </c>
      <c r="G31" s="14">
        <v>215</v>
      </c>
      <c r="H31" s="14">
        <v>226</v>
      </c>
      <c r="I31" s="14">
        <v>242</v>
      </c>
      <c r="J31" s="14">
        <v>211</v>
      </c>
      <c r="K31" s="14">
        <v>169</v>
      </c>
      <c r="L31" s="14">
        <v>126</v>
      </c>
      <c r="M31" s="14">
        <v>78</v>
      </c>
      <c r="N31" s="15">
        <v>69</v>
      </c>
      <c r="O31" s="16">
        <v>37.35</v>
      </c>
    </row>
    <row r="32" spans="1:15">
      <c r="A32" s="7">
        <f t="shared" si="0"/>
        <v>30</v>
      </c>
      <c r="B32" s="8" t="s">
        <v>71</v>
      </c>
      <c r="C32" s="1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5"/>
      <c r="O32" s="16"/>
    </row>
    <row r="33" spans="1:15">
      <c r="A33" s="7">
        <f t="shared" si="0"/>
        <v>31</v>
      </c>
      <c r="B33" s="8" t="s">
        <v>109</v>
      </c>
      <c r="C33" s="13">
        <v>79</v>
      </c>
      <c r="D33" s="14">
        <v>93</v>
      </c>
      <c r="E33" s="14">
        <v>146</v>
      </c>
      <c r="F33" s="14">
        <v>164</v>
      </c>
      <c r="G33" s="14">
        <v>204</v>
      </c>
      <c r="H33" s="14">
        <v>214</v>
      </c>
      <c r="I33" s="14">
        <v>231</v>
      </c>
      <c r="J33" s="14">
        <v>198</v>
      </c>
      <c r="K33" s="14">
        <v>158</v>
      </c>
      <c r="L33" s="14">
        <v>119</v>
      </c>
      <c r="M33" s="14">
        <v>75</v>
      </c>
      <c r="N33" s="15">
        <v>68</v>
      </c>
      <c r="O33" s="16">
        <v>37.770000000000003</v>
      </c>
    </row>
    <row r="34" spans="1:15">
      <c r="A34" s="7">
        <f t="shared" si="0"/>
        <v>32</v>
      </c>
      <c r="B34" s="8" t="s">
        <v>250</v>
      </c>
      <c r="C34" s="13">
        <v>79</v>
      </c>
      <c r="D34" s="14">
        <v>92</v>
      </c>
      <c r="E34" s="14">
        <v>149</v>
      </c>
      <c r="F34" s="14">
        <v>163</v>
      </c>
      <c r="G34" s="14">
        <v>209</v>
      </c>
      <c r="H34" s="14">
        <v>220</v>
      </c>
      <c r="I34" s="14">
        <v>238</v>
      </c>
      <c r="J34" s="14">
        <v>205</v>
      </c>
      <c r="K34" s="14">
        <v>164</v>
      </c>
      <c r="L34" s="14">
        <v>122</v>
      </c>
      <c r="M34" s="14">
        <v>76</v>
      </c>
      <c r="N34" s="15">
        <v>68</v>
      </c>
      <c r="O34" s="16">
        <v>36.68</v>
      </c>
    </row>
    <row r="35" spans="1:15">
      <c r="A35" s="7">
        <f t="shared" si="0"/>
        <v>33</v>
      </c>
      <c r="B35" s="8" t="s">
        <v>67</v>
      </c>
      <c r="C35" s="13">
        <v>37</v>
      </c>
      <c r="D35" s="14">
        <v>68</v>
      </c>
      <c r="E35" s="14">
        <v>106</v>
      </c>
      <c r="F35" s="14">
        <v>135</v>
      </c>
      <c r="G35" s="14">
        <v>180</v>
      </c>
      <c r="H35" s="14">
        <v>166</v>
      </c>
      <c r="I35" s="14">
        <v>182</v>
      </c>
      <c r="J35" s="14">
        <v>155</v>
      </c>
      <c r="K35" s="14">
        <v>132</v>
      </c>
      <c r="L35" s="14">
        <v>101</v>
      </c>
      <c r="M35" s="14">
        <v>43</v>
      </c>
      <c r="N35" s="15">
        <v>19</v>
      </c>
      <c r="O35" s="16">
        <v>43.33</v>
      </c>
    </row>
    <row r="36" spans="1:15">
      <c r="A36" s="7">
        <f t="shared" si="0"/>
        <v>34</v>
      </c>
      <c r="B36" s="8" t="s">
        <v>251</v>
      </c>
      <c r="C36" s="13">
        <v>89</v>
      </c>
      <c r="D36" s="14">
        <v>138</v>
      </c>
      <c r="E36" s="14">
        <v>196</v>
      </c>
      <c r="F36" s="14">
        <v>211</v>
      </c>
      <c r="G36" s="14">
        <v>202</v>
      </c>
      <c r="H36" s="14">
        <v>152</v>
      </c>
      <c r="I36" s="14">
        <v>174</v>
      </c>
      <c r="J36" s="14">
        <v>208</v>
      </c>
      <c r="K36" s="14">
        <v>185</v>
      </c>
      <c r="L36" s="14">
        <v>155</v>
      </c>
      <c r="M36" s="14">
        <v>107</v>
      </c>
      <c r="N36" s="15">
        <v>71</v>
      </c>
      <c r="O36" s="16">
        <v>28.1</v>
      </c>
    </row>
    <row r="37" spans="1:15">
      <c r="A37" s="7">
        <f t="shared" si="0"/>
        <v>35</v>
      </c>
      <c r="B37" s="8" t="s">
        <v>252</v>
      </c>
      <c r="C37" s="13">
        <v>67</v>
      </c>
      <c r="D37" s="14">
        <v>78</v>
      </c>
      <c r="E37" s="14">
        <v>142</v>
      </c>
      <c r="F37" s="14">
        <v>153</v>
      </c>
      <c r="G37" s="14">
        <v>204</v>
      </c>
      <c r="H37" s="14">
        <v>224</v>
      </c>
      <c r="I37" s="14">
        <v>230</v>
      </c>
      <c r="J37" s="14">
        <v>201</v>
      </c>
      <c r="K37" s="14">
        <v>151</v>
      </c>
      <c r="L37" s="14">
        <v>105</v>
      </c>
      <c r="M37" s="14">
        <v>65</v>
      </c>
      <c r="N37" s="15">
        <v>49</v>
      </c>
      <c r="O37" s="16">
        <v>40.33</v>
      </c>
    </row>
    <row r="38" spans="1:15">
      <c r="A38" s="7">
        <f t="shared" si="0"/>
        <v>36</v>
      </c>
      <c r="B38" s="8" t="s">
        <v>73</v>
      </c>
      <c r="C38" s="13">
        <v>56</v>
      </c>
      <c r="D38" s="14">
        <v>74</v>
      </c>
      <c r="E38" s="14">
        <v>129</v>
      </c>
      <c r="F38" s="14">
        <v>142</v>
      </c>
      <c r="G38" s="14">
        <v>182</v>
      </c>
      <c r="H38" s="14">
        <v>209</v>
      </c>
      <c r="I38" s="14">
        <v>230</v>
      </c>
      <c r="J38" s="14">
        <v>201</v>
      </c>
      <c r="K38" s="14">
        <v>147</v>
      </c>
      <c r="L38" s="14">
        <v>96</v>
      </c>
      <c r="M38" s="14">
        <v>56</v>
      </c>
      <c r="N38" s="15">
        <v>42</v>
      </c>
      <c r="O38" s="16">
        <v>42.58</v>
      </c>
    </row>
    <row r="39" spans="1:15">
      <c r="A39" s="7">
        <f t="shared" si="0"/>
        <v>37</v>
      </c>
      <c r="B39" s="8" t="s">
        <v>74</v>
      </c>
      <c r="C39" s="13">
        <v>83</v>
      </c>
      <c r="D39" s="14">
        <v>79</v>
      </c>
      <c r="E39" s="14">
        <v>174</v>
      </c>
      <c r="F39" s="14">
        <v>194</v>
      </c>
      <c r="G39" s="14">
        <v>225</v>
      </c>
      <c r="H39" s="14">
        <v>223</v>
      </c>
      <c r="I39" s="14">
        <v>228</v>
      </c>
      <c r="J39" s="14">
        <v>205</v>
      </c>
      <c r="K39" s="14">
        <v>162</v>
      </c>
      <c r="L39" s="14">
        <v>117</v>
      </c>
      <c r="M39" s="14">
        <v>63</v>
      </c>
      <c r="N39" s="15">
        <v>55</v>
      </c>
      <c r="O39" s="16">
        <v>41.62</v>
      </c>
    </row>
    <row r="40" spans="1:15">
      <c r="A40" s="7">
        <f t="shared" si="0"/>
        <v>38</v>
      </c>
      <c r="B40" s="8" t="s">
        <v>75</v>
      </c>
      <c r="C40" s="13">
        <v>50</v>
      </c>
      <c r="D40" s="14">
        <v>68</v>
      </c>
      <c r="E40" s="14">
        <v>118</v>
      </c>
      <c r="F40" s="14">
        <v>137</v>
      </c>
      <c r="G40" s="14">
        <v>176</v>
      </c>
      <c r="H40" s="14">
        <v>194</v>
      </c>
      <c r="I40" s="14">
        <v>204</v>
      </c>
      <c r="J40" s="14">
        <v>180</v>
      </c>
      <c r="K40" s="14">
        <v>137</v>
      </c>
      <c r="L40" s="14">
        <v>92</v>
      </c>
      <c r="M40" s="14">
        <v>54</v>
      </c>
      <c r="N40" s="15">
        <v>42</v>
      </c>
      <c r="O40" s="16">
        <v>42.47</v>
      </c>
    </row>
    <row r="41" spans="1:15">
      <c r="A41" s="7">
        <f t="shared" si="0"/>
        <v>39</v>
      </c>
      <c r="B41" s="8" t="s">
        <v>76</v>
      </c>
      <c r="C41" s="13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  <c r="O41" s="16"/>
    </row>
    <row r="42" spans="1:15">
      <c r="A42" s="7">
        <f t="shared" si="0"/>
        <v>40</v>
      </c>
      <c r="B42" s="8" t="s">
        <v>77</v>
      </c>
      <c r="C42" s="13">
        <v>66</v>
      </c>
      <c r="D42" s="14">
        <v>77</v>
      </c>
      <c r="E42" s="14">
        <v>141</v>
      </c>
      <c r="F42" s="14">
        <v>153</v>
      </c>
      <c r="G42" s="14">
        <v>204</v>
      </c>
      <c r="H42" s="14">
        <v>223</v>
      </c>
      <c r="I42" s="14">
        <v>230</v>
      </c>
      <c r="J42" s="14">
        <v>201</v>
      </c>
      <c r="K42" s="14">
        <v>151</v>
      </c>
      <c r="L42" s="14">
        <v>105</v>
      </c>
      <c r="M42" s="14">
        <v>64</v>
      </c>
      <c r="N42" s="15">
        <v>49</v>
      </c>
      <c r="O42" s="16">
        <v>40.42</v>
      </c>
    </row>
    <row r="43" spans="1:15">
      <c r="A43" s="7">
        <f t="shared" si="0"/>
        <v>41</v>
      </c>
      <c r="B43" s="8" t="s">
        <v>78</v>
      </c>
      <c r="C43" s="13">
        <v>79</v>
      </c>
      <c r="D43" s="14">
        <v>92</v>
      </c>
      <c r="E43" s="14">
        <v>147</v>
      </c>
      <c r="F43" s="14">
        <v>161</v>
      </c>
      <c r="G43" s="14">
        <v>207</v>
      </c>
      <c r="H43" s="14">
        <v>217</v>
      </c>
      <c r="I43" s="14">
        <v>236</v>
      </c>
      <c r="J43" s="14">
        <v>203</v>
      </c>
      <c r="K43" s="14">
        <v>162</v>
      </c>
      <c r="L43" s="14">
        <v>121</v>
      </c>
      <c r="M43" s="14">
        <v>75</v>
      </c>
      <c r="N43" s="15">
        <v>67</v>
      </c>
      <c r="O43" s="16">
        <v>36.72</v>
      </c>
    </row>
    <row r="44" spans="1:15">
      <c r="A44" s="7">
        <f t="shared" si="0"/>
        <v>42</v>
      </c>
      <c r="B44" s="8" t="s">
        <v>253</v>
      </c>
      <c r="C44" s="13">
        <v>53</v>
      </c>
      <c r="D44" s="14">
        <v>69</v>
      </c>
      <c r="E44" s="14">
        <v>117</v>
      </c>
      <c r="F44" s="14">
        <v>141</v>
      </c>
      <c r="G44" s="14">
        <v>166</v>
      </c>
      <c r="H44" s="14">
        <v>186</v>
      </c>
      <c r="I44" s="14">
        <v>199</v>
      </c>
      <c r="J44" s="14">
        <v>174</v>
      </c>
      <c r="K44" s="14">
        <v>134</v>
      </c>
      <c r="L44" s="14">
        <v>93</v>
      </c>
      <c r="M44" s="14">
        <v>59</v>
      </c>
      <c r="N44" s="15">
        <v>48</v>
      </c>
      <c r="O44" s="16">
        <v>41.53</v>
      </c>
    </row>
    <row r="45" spans="1:15">
      <c r="A45" s="7">
        <f t="shared" si="0"/>
        <v>43</v>
      </c>
      <c r="B45" s="8" t="s">
        <v>100</v>
      </c>
      <c r="C45" s="13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  <c r="O45" s="16"/>
    </row>
    <row r="46" spans="1:15">
      <c r="A46" s="7">
        <f t="shared" si="0"/>
        <v>44</v>
      </c>
      <c r="B46" s="8" t="s">
        <v>254</v>
      </c>
      <c r="C46" s="13">
        <v>67</v>
      </c>
      <c r="D46" s="14">
        <v>78</v>
      </c>
      <c r="E46" s="14">
        <v>142</v>
      </c>
      <c r="F46" s="14">
        <v>154</v>
      </c>
      <c r="G46" s="14">
        <v>205</v>
      </c>
      <c r="H46" s="14">
        <v>224</v>
      </c>
      <c r="I46" s="14">
        <v>230</v>
      </c>
      <c r="J46" s="14">
        <v>201</v>
      </c>
      <c r="K46" s="14">
        <v>151</v>
      </c>
      <c r="L46" s="14">
        <v>106</v>
      </c>
      <c r="M46" s="14">
        <v>65</v>
      </c>
      <c r="N46" s="15">
        <v>50</v>
      </c>
      <c r="O46" s="16">
        <v>40.32</v>
      </c>
    </row>
    <row r="47" spans="1:15">
      <c r="A47" s="7">
        <f t="shared" si="0"/>
        <v>45</v>
      </c>
      <c r="B47" s="8" t="s">
        <v>79</v>
      </c>
      <c r="C47" s="13">
        <v>80</v>
      </c>
      <c r="D47" s="14">
        <v>95</v>
      </c>
      <c r="E47" s="14">
        <v>145</v>
      </c>
      <c r="F47" s="14">
        <v>168</v>
      </c>
      <c r="G47" s="14">
        <v>203</v>
      </c>
      <c r="H47" s="14">
        <v>211</v>
      </c>
      <c r="I47" s="14">
        <v>224</v>
      </c>
      <c r="J47" s="14">
        <v>193</v>
      </c>
      <c r="K47" s="14">
        <v>153</v>
      </c>
      <c r="L47" s="14">
        <v>117</v>
      </c>
      <c r="M47" s="14">
        <v>75</v>
      </c>
      <c r="N47" s="15">
        <v>70</v>
      </c>
      <c r="O47" s="16">
        <v>37.78</v>
      </c>
    </row>
    <row r="48" spans="1:15">
      <c r="A48" s="7">
        <f t="shared" si="0"/>
        <v>46</v>
      </c>
      <c r="B48" s="8" t="s">
        <v>80</v>
      </c>
      <c r="C48" s="13">
        <v>58</v>
      </c>
      <c r="D48" s="14">
        <v>74</v>
      </c>
      <c r="E48" s="14">
        <v>130</v>
      </c>
      <c r="F48" s="14">
        <v>145</v>
      </c>
      <c r="G48" s="14">
        <v>185</v>
      </c>
      <c r="H48" s="14">
        <v>211</v>
      </c>
      <c r="I48" s="14">
        <v>229</v>
      </c>
      <c r="J48" s="14">
        <v>202</v>
      </c>
      <c r="K48" s="14">
        <v>148</v>
      </c>
      <c r="L48" s="14">
        <v>98</v>
      </c>
      <c r="M48" s="14">
        <v>58</v>
      </c>
      <c r="N48" s="15">
        <v>43</v>
      </c>
      <c r="O48" s="16">
        <v>42.33</v>
      </c>
    </row>
    <row r="49" spans="1:15">
      <c r="A49" s="7">
        <f t="shared" si="0"/>
        <v>47</v>
      </c>
      <c r="B49" s="8" t="s">
        <v>81</v>
      </c>
      <c r="C49" s="13">
        <v>45</v>
      </c>
      <c r="D49" s="14">
        <v>59</v>
      </c>
      <c r="E49" s="14">
        <v>104</v>
      </c>
      <c r="F49" s="14">
        <v>125</v>
      </c>
      <c r="G49" s="14">
        <v>162</v>
      </c>
      <c r="H49" s="14">
        <v>169</v>
      </c>
      <c r="I49" s="14">
        <v>171</v>
      </c>
      <c r="J49" s="14">
        <v>149</v>
      </c>
      <c r="K49" s="14">
        <v>120</v>
      </c>
      <c r="L49" s="14">
        <v>82</v>
      </c>
      <c r="M49" s="14">
        <v>50</v>
      </c>
      <c r="N49" s="15">
        <v>38</v>
      </c>
      <c r="O49" s="16">
        <v>43.35</v>
      </c>
    </row>
    <row r="50" spans="1:15">
      <c r="A50" s="7">
        <f t="shared" si="0"/>
        <v>48</v>
      </c>
      <c r="B50" s="8" t="s">
        <v>255</v>
      </c>
      <c r="C50" s="13">
        <v>65</v>
      </c>
      <c r="D50" s="14">
        <v>79</v>
      </c>
      <c r="E50" s="14">
        <v>126</v>
      </c>
      <c r="F50" s="14">
        <v>159</v>
      </c>
      <c r="G50" s="14">
        <v>196</v>
      </c>
      <c r="H50" s="14">
        <v>208</v>
      </c>
      <c r="I50" s="14">
        <v>214</v>
      </c>
      <c r="J50" s="14">
        <v>188</v>
      </c>
      <c r="K50" s="14">
        <v>140</v>
      </c>
      <c r="L50" s="14">
        <v>106</v>
      </c>
      <c r="M50" s="14">
        <v>66</v>
      </c>
      <c r="N50" s="15">
        <v>57</v>
      </c>
      <c r="O50" s="16">
        <v>39.58</v>
      </c>
    </row>
    <row r="51" spans="1:15">
      <c r="A51" s="7">
        <f t="shared" si="0"/>
        <v>49</v>
      </c>
      <c r="B51" s="8" t="s">
        <v>82</v>
      </c>
      <c r="C51" s="13">
        <v>49</v>
      </c>
      <c r="D51" s="14">
        <v>67</v>
      </c>
      <c r="E51" s="14">
        <v>116</v>
      </c>
      <c r="F51" s="14">
        <v>136</v>
      </c>
      <c r="G51" s="14">
        <v>173</v>
      </c>
      <c r="H51" s="14">
        <v>190</v>
      </c>
      <c r="I51" s="14">
        <v>199</v>
      </c>
      <c r="J51" s="14">
        <v>175</v>
      </c>
      <c r="K51" s="14">
        <v>135</v>
      </c>
      <c r="L51" s="14">
        <v>91</v>
      </c>
      <c r="M51" s="14">
        <v>54</v>
      </c>
      <c r="N51" s="15">
        <v>41</v>
      </c>
      <c r="O51" s="16">
        <v>42.82</v>
      </c>
    </row>
    <row r="52" spans="1:15">
      <c r="A52" s="7">
        <f>A51+1</f>
        <v>50</v>
      </c>
      <c r="B52" s="8" t="s">
        <v>83</v>
      </c>
      <c r="C52" s="13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  <c r="O52" s="16"/>
    </row>
    <row r="53" spans="1:15">
      <c r="A53" s="7">
        <f t="shared" si="0"/>
        <v>51</v>
      </c>
      <c r="B53" s="8" t="s">
        <v>256</v>
      </c>
      <c r="C53" s="18">
        <v>53</v>
      </c>
      <c r="D53" s="19">
        <v>69</v>
      </c>
      <c r="E53" s="19">
        <v>117</v>
      </c>
      <c r="F53" s="19">
        <v>141</v>
      </c>
      <c r="G53" s="19">
        <v>166</v>
      </c>
      <c r="H53" s="19">
        <v>186</v>
      </c>
      <c r="I53" s="19">
        <v>199</v>
      </c>
      <c r="J53" s="19">
        <v>174</v>
      </c>
      <c r="K53" s="19">
        <v>133</v>
      </c>
      <c r="L53" s="19">
        <v>93</v>
      </c>
      <c r="M53" s="19">
        <v>59</v>
      </c>
      <c r="N53" s="20">
        <v>48</v>
      </c>
      <c r="O53" s="21">
        <v>41.55</v>
      </c>
    </row>
    <row r="54" spans="1:15">
      <c r="A54" s="7">
        <f t="shared" si="0"/>
        <v>52</v>
      </c>
      <c r="B54" s="8" t="s">
        <v>84</v>
      </c>
      <c r="C54" s="13">
        <v>61</v>
      </c>
      <c r="D54" s="14">
        <v>75</v>
      </c>
      <c r="E54" s="14">
        <v>133</v>
      </c>
      <c r="F54" s="14">
        <v>146</v>
      </c>
      <c r="G54" s="14">
        <v>190</v>
      </c>
      <c r="H54" s="14">
        <v>215</v>
      </c>
      <c r="I54" s="14">
        <v>232</v>
      </c>
      <c r="J54" s="14">
        <v>204</v>
      </c>
      <c r="K54" s="14">
        <v>150</v>
      </c>
      <c r="L54" s="14">
        <v>100</v>
      </c>
      <c r="M54" s="14">
        <v>60</v>
      </c>
      <c r="N54" s="15">
        <v>45</v>
      </c>
      <c r="O54" s="16">
        <v>40.97</v>
      </c>
    </row>
    <row r="55" spans="1:15">
      <c r="A55" s="7">
        <f t="shared" si="0"/>
        <v>53</v>
      </c>
      <c r="B55" s="8" t="s">
        <v>257</v>
      </c>
      <c r="C55" s="13">
        <v>44</v>
      </c>
      <c r="D55" s="14">
        <v>60</v>
      </c>
      <c r="E55" s="14">
        <v>105</v>
      </c>
      <c r="F55" s="14">
        <v>130</v>
      </c>
      <c r="G55" s="14">
        <v>160</v>
      </c>
      <c r="H55" s="14">
        <v>170</v>
      </c>
      <c r="I55" s="14">
        <v>176</v>
      </c>
      <c r="J55" s="14">
        <v>155</v>
      </c>
      <c r="K55" s="14">
        <v>125</v>
      </c>
      <c r="L55" s="14">
        <v>83</v>
      </c>
      <c r="M55" s="14">
        <v>51</v>
      </c>
      <c r="N55" s="15">
        <v>39</v>
      </c>
      <c r="O55" s="16">
        <v>43.32</v>
      </c>
    </row>
    <row r="56" spans="1:15">
      <c r="A56" s="7">
        <f t="shared" si="0"/>
        <v>54</v>
      </c>
      <c r="B56" s="8" t="s">
        <v>258</v>
      </c>
      <c r="C56" s="13">
        <v>54</v>
      </c>
      <c r="D56" s="14">
        <v>69</v>
      </c>
      <c r="E56" s="14">
        <v>117</v>
      </c>
      <c r="F56" s="14">
        <v>142</v>
      </c>
      <c r="G56" s="14">
        <v>166</v>
      </c>
      <c r="H56" s="14">
        <v>186</v>
      </c>
      <c r="I56" s="14">
        <v>200</v>
      </c>
      <c r="J56" s="14">
        <v>175</v>
      </c>
      <c r="K56" s="14">
        <v>134</v>
      </c>
      <c r="L56" s="14">
        <v>93</v>
      </c>
      <c r="M56" s="14">
        <v>59</v>
      </c>
      <c r="N56" s="15">
        <v>48</v>
      </c>
      <c r="O56" s="16">
        <v>41.47</v>
      </c>
    </row>
    <row r="57" spans="1:15">
      <c r="A57" s="7">
        <f t="shared" si="0"/>
        <v>55</v>
      </c>
      <c r="B57" s="8" t="s">
        <v>85</v>
      </c>
      <c r="C57" s="13">
        <v>45</v>
      </c>
      <c r="D57" s="14">
        <v>58</v>
      </c>
      <c r="E57" s="14">
        <v>103</v>
      </c>
      <c r="F57" s="14">
        <v>125</v>
      </c>
      <c r="G57" s="14">
        <v>161</v>
      </c>
      <c r="H57" s="14">
        <v>168</v>
      </c>
      <c r="I57" s="14">
        <v>170</v>
      </c>
      <c r="J57" s="14">
        <v>147</v>
      </c>
      <c r="K57" s="14">
        <v>120</v>
      </c>
      <c r="L57" s="14">
        <v>81</v>
      </c>
      <c r="M57" s="14">
        <v>50</v>
      </c>
      <c r="N57" s="15">
        <v>38</v>
      </c>
      <c r="O57" s="16">
        <v>43.38</v>
      </c>
    </row>
    <row r="58" spans="1:15">
      <c r="A58" s="7">
        <f t="shared" si="0"/>
        <v>56</v>
      </c>
      <c r="B58" s="8" t="s">
        <v>87</v>
      </c>
      <c r="C58" s="13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5"/>
      <c r="O58" s="16"/>
    </row>
    <row r="59" spans="1:15">
      <c r="A59" s="7">
        <f t="shared" si="0"/>
        <v>57</v>
      </c>
      <c r="B59" s="8" t="s">
        <v>88</v>
      </c>
      <c r="C59" s="13">
        <v>78</v>
      </c>
      <c r="D59" s="14">
        <v>91</v>
      </c>
      <c r="E59" s="14">
        <v>146</v>
      </c>
      <c r="F59" s="14">
        <v>161</v>
      </c>
      <c r="G59" s="14">
        <v>205</v>
      </c>
      <c r="H59" s="14">
        <v>216</v>
      </c>
      <c r="I59" s="14">
        <v>235</v>
      </c>
      <c r="J59" s="14">
        <v>202</v>
      </c>
      <c r="K59" s="14">
        <v>161</v>
      </c>
      <c r="L59" s="14">
        <v>120</v>
      </c>
      <c r="M59" s="14">
        <v>75</v>
      </c>
      <c r="N59" s="15">
        <v>67</v>
      </c>
      <c r="O59" s="16">
        <v>37.4</v>
      </c>
    </row>
    <row r="60" spans="1:15">
      <c r="A60" s="7">
        <f>A59+1</f>
        <v>58</v>
      </c>
      <c r="B60" s="8" t="s">
        <v>89</v>
      </c>
      <c r="C60" s="13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5"/>
      <c r="O60" s="16"/>
    </row>
    <row r="61" spans="1:15">
      <c r="A61" s="7">
        <f t="shared" si="0"/>
        <v>59</v>
      </c>
      <c r="B61" s="8" t="s">
        <v>90</v>
      </c>
      <c r="C61" s="13">
        <v>81</v>
      </c>
      <c r="D61" s="14">
        <v>91</v>
      </c>
      <c r="E61" s="14">
        <v>154</v>
      </c>
      <c r="F61" s="14">
        <v>158</v>
      </c>
      <c r="G61" s="14">
        <v>191</v>
      </c>
      <c r="H61" s="14">
        <v>212</v>
      </c>
      <c r="I61" s="14">
        <v>198</v>
      </c>
      <c r="J61" s="14">
        <v>184</v>
      </c>
      <c r="K61" s="14">
        <v>140</v>
      </c>
      <c r="L61" s="14">
        <v>101</v>
      </c>
      <c r="M61" s="14">
        <v>67</v>
      </c>
      <c r="N61" s="15">
        <v>67</v>
      </c>
      <c r="O61" s="16">
        <v>41.12</v>
      </c>
    </row>
    <row r="62" spans="1:15">
      <c r="A62" s="7">
        <f t="shared" si="0"/>
        <v>60</v>
      </c>
      <c r="B62" s="8" t="s">
        <v>259</v>
      </c>
      <c r="C62" s="13">
        <v>53</v>
      </c>
      <c r="D62" s="14">
        <v>68</v>
      </c>
      <c r="E62" s="14">
        <v>116</v>
      </c>
      <c r="F62" s="14">
        <v>141</v>
      </c>
      <c r="G62" s="14">
        <v>166</v>
      </c>
      <c r="H62" s="14">
        <v>186</v>
      </c>
      <c r="I62" s="14">
        <v>199</v>
      </c>
      <c r="J62" s="14">
        <v>174</v>
      </c>
      <c r="K62" s="14">
        <v>133</v>
      </c>
      <c r="L62" s="14">
        <v>92</v>
      </c>
      <c r="M62" s="14">
        <v>58</v>
      </c>
      <c r="N62" s="15">
        <v>48</v>
      </c>
      <c r="O62" s="16">
        <v>41.57</v>
      </c>
    </row>
    <row r="63" spans="1:15">
      <c r="A63" s="7">
        <f t="shared" si="0"/>
        <v>61</v>
      </c>
      <c r="B63" s="8" t="s">
        <v>86</v>
      </c>
      <c r="C63" s="13">
        <v>88</v>
      </c>
      <c r="D63" s="14">
        <v>122</v>
      </c>
      <c r="E63" s="14">
        <v>189</v>
      </c>
      <c r="F63" s="14">
        <v>186</v>
      </c>
      <c r="G63" s="14">
        <v>192</v>
      </c>
      <c r="H63" s="14">
        <v>158</v>
      </c>
      <c r="I63" s="14">
        <v>191</v>
      </c>
      <c r="J63" s="14">
        <v>211</v>
      </c>
      <c r="K63" s="14">
        <v>166</v>
      </c>
      <c r="L63" s="14">
        <v>161</v>
      </c>
      <c r="M63" s="14">
        <v>102</v>
      </c>
      <c r="N63" s="15">
        <v>94</v>
      </c>
      <c r="O63" s="16">
        <v>28.48</v>
      </c>
    </row>
    <row r="64" spans="1:15">
      <c r="A64" s="7">
        <f t="shared" si="0"/>
        <v>62</v>
      </c>
      <c r="B64" s="8" t="s">
        <v>91</v>
      </c>
      <c r="C64" s="13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5"/>
      <c r="O64" s="16"/>
    </row>
    <row r="65" spans="1:15">
      <c r="A65" s="7">
        <f t="shared" si="0"/>
        <v>63</v>
      </c>
      <c r="B65" s="8" t="s">
        <v>92</v>
      </c>
      <c r="C65" s="13">
        <v>70</v>
      </c>
      <c r="D65" s="14">
        <v>82</v>
      </c>
      <c r="E65" s="14">
        <v>145</v>
      </c>
      <c r="F65" s="14">
        <v>161</v>
      </c>
      <c r="G65" s="14">
        <v>209</v>
      </c>
      <c r="H65" s="14">
        <v>228</v>
      </c>
      <c r="I65" s="14">
        <v>233</v>
      </c>
      <c r="J65" s="14">
        <v>203</v>
      </c>
      <c r="K65" s="14">
        <v>155</v>
      </c>
      <c r="L65" s="14">
        <v>111</v>
      </c>
      <c r="M65" s="14">
        <v>70</v>
      </c>
      <c r="N65" s="15">
        <v>52</v>
      </c>
      <c r="O65" s="16">
        <v>39.9</v>
      </c>
    </row>
    <row r="66" spans="1:15">
      <c r="A66" s="7">
        <f t="shared" si="0"/>
        <v>64</v>
      </c>
      <c r="B66" s="8" t="s">
        <v>93</v>
      </c>
      <c r="C66" s="13">
        <v>68</v>
      </c>
      <c r="D66" s="14">
        <v>82</v>
      </c>
      <c r="E66" s="14">
        <v>131</v>
      </c>
      <c r="F66" s="14">
        <v>161</v>
      </c>
      <c r="G66" s="14">
        <v>198</v>
      </c>
      <c r="H66" s="14">
        <v>209</v>
      </c>
      <c r="I66" s="14">
        <v>217</v>
      </c>
      <c r="J66" s="14">
        <v>190</v>
      </c>
      <c r="K66" s="14">
        <v>143</v>
      </c>
      <c r="L66" s="14">
        <v>108</v>
      </c>
      <c r="M66" s="14">
        <v>68</v>
      </c>
      <c r="N66" s="15">
        <v>59</v>
      </c>
      <c r="O66" s="16">
        <v>39.479999999999997</v>
      </c>
    </row>
    <row r="67" spans="1:15">
      <c r="A67" s="7">
        <f t="shared" si="0"/>
        <v>65</v>
      </c>
      <c r="B67" s="8" t="s">
        <v>94</v>
      </c>
      <c r="C67" s="13">
        <v>59</v>
      </c>
      <c r="D67" s="14">
        <v>75</v>
      </c>
      <c r="E67" s="14">
        <v>132</v>
      </c>
      <c r="F67" s="14">
        <v>145</v>
      </c>
      <c r="G67" s="14">
        <v>186</v>
      </c>
      <c r="H67" s="14">
        <v>213</v>
      </c>
      <c r="I67" s="14">
        <v>231</v>
      </c>
      <c r="J67" s="14">
        <v>203</v>
      </c>
      <c r="K67" s="14">
        <v>149</v>
      </c>
      <c r="L67" s="14">
        <v>98</v>
      </c>
      <c r="M67" s="14">
        <v>58</v>
      </c>
      <c r="N67" s="15">
        <v>43</v>
      </c>
      <c r="O67" s="16">
        <v>41.65</v>
      </c>
    </row>
    <row r="68" spans="1:15">
      <c r="A68" s="7">
        <f t="shared" si="0"/>
        <v>66</v>
      </c>
      <c r="B68" s="8" t="s">
        <v>260</v>
      </c>
      <c r="C68" s="13">
        <v>59</v>
      </c>
      <c r="D68" s="14">
        <v>72</v>
      </c>
      <c r="E68" s="14">
        <v>127</v>
      </c>
      <c r="F68" s="14">
        <v>150</v>
      </c>
      <c r="G68" s="14">
        <v>192</v>
      </c>
      <c r="H68" s="14">
        <v>208</v>
      </c>
      <c r="I68" s="14">
        <v>209</v>
      </c>
      <c r="J68" s="14">
        <v>193</v>
      </c>
      <c r="K68" s="14">
        <v>146</v>
      </c>
      <c r="L68" s="14">
        <v>101</v>
      </c>
      <c r="M68" s="14">
        <v>60</v>
      </c>
      <c r="N68" s="15">
        <v>47</v>
      </c>
      <c r="O68" s="16">
        <v>42.22</v>
      </c>
    </row>
    <row r="69" spans="1:15">
      <c r="A69" s="7">
        <f>A68+1</f>
        <v>67</v>
      </c>
      <c r="B69" s="8" t="s">
        <v>95</v>
      </c>
      <c r="C69" s="13">
        <v>49</v>
      </c>
      <c r="D69" s="14">
        <v>67</v>
      </c>
      <c r="E69" s="14">
        <v>117</v>
      </c>
      <c r="F69" s="14">
        <v>136</v>
      </c>
      <c r="G69" s="14">
        <v>175</v>
      </c>
      <c r="H69" s="14">
        <v>192</v>
      </c>
      <c r="I69" s="14">
        <v>201</v>
      </c>
      <c r="J69" s="14">
        <v>177</v>
      </c>
      <c r="K69" s="14">
        <v>135</v>
      </c>
      <c r="L69" s="14">
        <v>91</v>
      </c>
      <c r="M69" s="14">
        <v>54</v>
      </c>
      <c r="N69" s="15">
        <v>41</v>
      </c>
      <c r="O69" s="16">
        <v>42.85</v>
      </c>
    </row>
    <row r="70" spans="1:15">
      <c r="A70" s="7">
        <f>A69+1</f>
        <v>68</v>
      </c>
      <c r="B70" s="8" t="s">
        <v>96</v>
      </c>
      <c r="C70" s="13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5"/>
      <c r="O70" s="16"/>
    </row>
    <row r="71" spans="1:15" ht="13.5" thickBot="1">
      <c r="A71" s="7">
        <f>A70+1</f>
        <v>69</v>
      </c>
      <c r="B71" s="8" t="s">
        <v>97</v>
      </c>
      <c r="C71" s="22">
        <v>50</v>
      </c>
      <c r="D71" s="23">
        <v>67</v>
      </c>
      <c r="E71" s="23">
        <v>117</v>
      </c>
      <c r="F71" s="23">
        <v>136</v>
      </c>
      <c r="G71" s="23">
        <v>175</v>
      </c>
      <c r="H71" s="23">
        <v>192</v>
      </c>
      <c r="I71" s="23">
        <v>201</v>
      </c>
      <c r="J71" s="23">
        <v>178</v>
      </c>
      <c r="K71" s="23">
        <v>136</v>
      </c>
      <c r="L71" s="23">
        <v>92</v>
      </c>
      <c r="M71" s="23">
        <v>54</v>
      </c>
      <c r="N71" s="24">
        <v>42</v>
      </c>
      <c r="O71" s="25">
        <v>41.65</v>
      </c>
    </row>
    <row r="74" spans="1:15" ht="13.5" thickBot="1"/>
    <row r="75" spans="1:15">
      <c r="B75" s="26" t="s">
        <v>110</v>
      </c>
      <c r="C75" s="27">
        <f>PI()/180</f>
        <v>1.7453292519943295E-2</v>
      </c>
      <c r="D75" s="27">
        <f t="shared" ref="D75:N75" si="1">PI()/180</f>
        <v>1.7453292519943295E-2</v>
      </c>
      <c r="E75" s="27">
        <f t="shared" si="1"/>
        <v>1.7453292519943295E-2</v>
      </c>
      <c r="F75" s="27">
        <f t="shared" si="1"/>
        <v>1.7453292519943295E-2</v>
      </c>
      <c r="G75" s="27">
        <f t="shared" si="1"/>
        <v>1.7453292519943295E-2</v>
      </c>
      <c r="H75" s="27">
        <f t="shared" si="1"/>
        <v>1.7453292519943295E-2</v>
      </c>
      <c r="I75" s="27">
        <f t="shared" si="1"/>
        <v>1.7453292519943295E-2</v>
      </c>
      <c r="J75" s="27">
        <f t="shared" si="1"/>
        <v>1.7453292519943295E-2</v>
      </c>
      <c r="K75" s="27">
        <f t="shared" si="1"/>
        <v>1.7453292519943295E-2</v>
      </c>
      <c r="L75" s="27">
        <f t="shared" si="1"/>
        <v>1.7453292519943295E-2</v>
      </c>
      <c r="M75" s="27">
        <f t="shared" si="1"/>
        <v>1.7453292519943295E-2</v>
      </c>
      <c r="N75" s="29">
        <f t="shared" si="1"/>
        <v>1.7453292519943295E-2</v>
      </c>
    </row>
    <row r="76" spans="1:15">
      <c r="B76" s="453" t="s">
        <v>120</v>
      </c>
      <c r="C76" s="7">
        <f>'Intensidad y Ángulo incli.'!$T$28</f>
        <v>34</v>
      </c>
      <c r="D76" s="7">
        <f>'Intensidad y Ángulo incli.'!$T$28</f>
        <v>34</v>
      </c>
      <c r="E76" s="7">
        <f>'Intensidad y Ángulo incli.'!$T$28</f>
        <v>34</v>
      </c>
      <c r="F76" s="7">
        <f>'Intensidad y Ángulo incli.'!$T$28</f>
        <v>34</v>
      </c>
      <c r="G76" s="7">
        <f>'Intensidad y Ángulo incli.'!$T$28</f>
        <v>34</v>
      </c>
      <c r="H76" s="7">
        <f>'Intensidad y Ángulo incli.'!$T$28</f>
        <v>34</v>
      </c>
      <c r="I76" s="7">
        <f>'Intensidad y Ángulo incli.'!$T$28</f>
        <v>34</v>
      </c>
      <c r="J76" s="7">
        <f>'Intensidad y Ángulo incli.'!$T$28</f>
        <v>34</v>
      </c>
      <c r="K76" s="7">
        <f>'Intensidad y Ángulo incli.'!$T$28</f>
        <v>34</v>
      </c>
      <c r="L76" s="7">
        <f>'Intensidad y Ángulo incli.'!$T$28</f>
        <v>34</v>
      </c>
      <c r="M76" s="7">
        <f>'Intensidad y Ángulo incli.'!$T$28</f>
        <v>34</v>
      </c>
      <c r="N76" s="544">
        <f>'Intensidad y Ángulo incli.'!$T$28</f>
        <v>34</v>
      </c>
    </row>
    <row r="77" spans="1:15">
      <c r="B77" s="453" t="s">
        <v>121</v>
      </c>
      <c r="C77" s="7">
        <f>C76*C75</f>
        <v>0.59341194567807209</v>
      </c>
      <c r="D77" s="7">
        <f t="shared" ref="D77:N77" si="2">D76*D75</f>
        <v>0.59341194567807209</v>
      </c>
      <c r="E77" s="7">
        <f t="shared" si="2"/>
        <v>0.59341194567807209</v>
      </c>
      <c r="F77" s="7">
        <f t="shared" si="2"/>
        <v>0.59341194567807209</v>
      </c>
      <c r="G77" s="7">
        <f t="shared" si="2"/>
        <v>0.59341194567807209</v>
      </c>
      <c r="H77" s="7">
        <f t="shared" si="2"/>
        <v>0.59341194567807209</v>
      </c>
      <c r="I77" s="7">
        <f t="shared" si="2"/>
        <v>0.59341194567807209</v>
      </c>
      <c r="J77" s="7">
        <f t="shared" si="2"/>
        <v>0.59341194567807209</v>
      </c>
      <c r="K77" s="7">
        <f t="shared" si="2"/>
        <v>0.59341194567807209</v>
      </c>
      <c r="L77" s="7">
        <f t="shared" si="2"/>
        <v>0.59341194567807209</v>
      </c>
      <c r="M77" s="7">
        <f t="shared" si="2"/>
        <v>0.59341194567807209</v>
      </c>
      <c r="N77" s="544">
        <f t="shared" si="2"/>
        <v>0.59341194567807209</v>
      </c>
    </row>
    <row r="78" spans="1:15">
      <c r="B78" s="453" t="s">
        <v>122</v>
      </c>
      <c r="C78" s="7">
        <f>SIN(C77)</f>
        <v>0.5591929034707469</v>
      </c>
      <c r="D78" s="7">
        <f t="shared" ref="D78:N78" si="3">SIN(D77)</f>
        <v>0.5591929034707469</v>
      </c>
      <c r="E78" s="7">
        <f t="shared" si="3"/>
        <v>0.5591929034707469</v>
      </c>
      <c r="F78" s="7">
        <f t="shared" si="3"/>
        <v>0.5591929034707469</v>
      </c>
      <c r="G78" s="7">
        <f t="shared" si="3"/>
        <v>0.5591929034707469</v>
      </c>
      <c r="H78" s="7">
        <f t="shared" si="3"/>
        <v>0.5591929034707469</v>
      </c>
      <c r="I78" s="7">
        <f t="shared" si="3"/>
        <v>0.5591929034707469</v>
      </c>
      <c r="J78" s="7">
        <f t="shared" si="3"/>
        <v>0.5591929034707469</v>
      </c>
      <c r="K78" s="7">
        <f t="shared" si="3"/>
        <v>0.5591929034707469</v>
      </c>
      <c r="L78" s="7">
        <f t="shared" si="3"/>
        <v>0.5591929034707469</v>
      </c>
      <c r="M78" s="7">
        <f t="shared" si="3"/>
        <v>0.5591929034707469</v>
      </c>
      <c r="N78" s="544">
        <f t="shared" si="3"/>
        <v>0.5591929034707469</v>
      </c>
    </row>
    <row r="79" spans="1:15">
      <c r="B79" s="453" t="s">
        <v>123</v>
      </c>
      <c r="C79" s="7">
        <f>COS(C77)</f>
        <v>0.82903757255504162</v>
      </c>
      <c r="D79" s="7">
        <f t="shared" ref="D79:N79" si="4">COS(D77)</f>
        <v>0.82903757255504162</v>
      </c>
      <c r="E79" s="7">
        <f t="shared" si="4"/>
        <v>0.82903757255504162</v>
      </c>
      <c r="F79" s="7">
        <f t="shared" si="4"/>
        <v>0.82903757255504162</v>
      </c>
      <c r="G79" s="7">
        <f t="shared" si="4"/>
        <v>0.82903757255504162</v>
      </c>
      <c r="H79" s="7">
        <f t="shared" si="4"/>
        <v>0.82903757255504162</v>
      </c>
      <c r="I79" s="7">
        <f t="shared" si="4"/>
        <v>0.82903757255504162</v>
      </c>
      <c r="J79" s="7">
        <f t="shared" si="4"/>
        <v>0.82903757255504162</v>
      </c>
      <c r="K79" s="7">
        <f t="shared" si="4"/>
        <v>0.82903757255504162</v>
      </c>
      <c r="L79" s="7">
        <f t="shared" si="4"/>
        <v>0.82903757255504162</v>
      </c>
      <c r="M79" s="7">
        <f t="shared" si="4"/>
        <v>0.82903757255504162</v>
      </c>
      <c r="N79" s="544">
        <f t="shared" si="4"/>
        <v>0.82903757255504162</v>
      </c>
    </row>
    <row r="80" spans="1:15">
      <c r="B80" s="453" t="s">
        <v>124</v>
      </c>
      <c r="C80" s="7">
        <f>'Intensidad y Ángulo incli.'!S7</f>
        <v>37.880000000000003</v>
      </c>
      <c r="D80" s="7">
        <f>C80</f>
        <v>37.880000000000003</v>
      </c>
      <c r="E80" s="7">
        <f t="shared" ref="E80:N80" si="5">D80</f>
        <v>37.880000000000003</v>
      </c>
      <c r="F80" s="7">
        <f t="shared" si="5"/>
        <v>37.880000000000003</v>
      </c>
      <c r="G80" s="7">
        <f t="shared" si="5"/>
        <v>37.880000000000003</v>
      </c>
      <c r="H80" s="7">
        <f t="shared" si="5"/>
        <v>37.880000000000003</v>
      </c>
      <c r="I80" s="7">
        <f t="shared" si="5"/>
        <v>37.880000000000003</v>
      </c>
      <c r="J80" s="7">
        <f t="shared" si="5"/>
        <v>37.880000000000003</v>
      </c>
      <c r="K80" s="7">
        <f t="shared" si="5"/>
        <v>37.880000000000003</v>
      </c>
      <c r="L80" s="7">
        <f t="shared" si="5"/>
        <v>37.880000000000003</v>
      </c>
      <c r="M80" s="7">
        <f t="shared" si="5"/>
        <v>37.880000000000003</v>
      </c>
      <c r="N80" s="544">
        <f t="shared" si="5"/>
        <v>37.880000000000003</v>
      </c>
    </row>
    <row r="81" spans="2:14">
      <c r="B81" s="453" t="s">
        <v>125</v>
      </c>
      <c r="C81" s="7">
        <f>C80*C75</f>
        <v>0.66113072065545209</v>
      </c>
      <c r="D81" s="7">
        <f t="shared" ref="D81:N81" si="6">D80*D75</f>
        <v>0.66113072065545209</v>
      </c>
      <c r="E81" s="7">
        <f t="shared" si="6"/>
        <v>0.66113072065545209</v>
      </c>
      <c r="F81" s="7">
        <f t="shared" si="6"/>
        <v>0.66113072065545209</v>
      </c>
      <c r="G81" s="7">
        <f t="shared" si="6"/>
        <v>0.66113072065545209</v>
      </c>
      <c r="H81" s="7">
        <f t="shared" si="6"/>
        <v>0.66113072065545209</v>
      </c>
      <c r="I81" s="7">
        <f t="shared" si="6"/>
        <v>0.66113072065545209</v>
      </c>
      <c r="J81" s="7">
        <f t="shared" si="6"/>
        <v>0.66113072065545209</v>
      </c>
      <c r="K81" s="7">
        <f t="shared" si="6"/>
        <v>0.66113072065545209</v>
      </c>
      <c r="L81" s="7">
        <f t="shared" si="6"/>
        <v>0.66113072065545209</v>
      </c>
      <c r="M81" s="7">
        <f t="shared" si="6"/>
        <v>0.66113072065545209</v>
      </c>
      <c r="N81" s="544">
        <f t="shared" si="6"/>
        <v>0.66113072065545209</v>
      </c>
    </row>
    <row r="82" spans="2:14">
      <c r="B82" s="453" t="s">
        <v>111</v>
      </c>
      <c r="C82" s="7">
        <f>SIN(C81)</f>
        <v>0.6140097203730337</v>
      </c>
      <c r="D82" s="7">
        <f t="shared" ref="D82:N82" si="7">SIN(D81)</f>
        <v>0.6140097203730337</v>
      </c>
      <c r="E82" s="7">
        <f t="shared" si="7"/>
        <v>0.6140097203730337</v>
      </c>
      <c r="F82" s="7">
        <f t="shared" si="7"/>
        <v>0.6140097203730337</v>
      </c>
      <c r="G82" s="7">
        <f t="shared" si="7"/>
        <v>0.6140097203730337</v>
      </c>
      <c r="H82" s="7">
        <f t="shared" si="7"/>
        <v>0.6140097203730337</v>
      </c>
      <c r="I82" s="7">
        <f t="shared" si="7"/>
        <v>0.6140097203730337</v>
      </c>
      <c r="J82" s="7">
        <f t="shared" si="7"/>
        <v>0.6140097203730337</v>
      </c>
      <c r="K82" s="7">
        <f t="shared" si="7"/>
        <v>0.6140097203730337</v>
      </c>
      <c r="L82" s="7">
        <f t="shared" si="7"/>
        <v>0.6140097203730337</v>
      </c>
      <c r="M82" s="7">
        <f t="shared" si="7"/>
        <v>0.6140097203730337</v>
      </c>
      <c r="N82" s="544">
        <f t="shared" si="7"/>
        <v>0.6140097203730337</v>
      </c>
    </row>
    <row r="83" spans="2:14">
      <c r="B83" s="453" t="s">
        <v>112</v>
      </c>
      <c r="C83" s="7">
        <f>COS(C81)</f>
        <v>0.78929846274234494</v>
      </c>
      <c r="D83" s="7">
        <f t="shared" ref="D83:N83" si="8">COS(D81)</f>
        <v>0.78929846274234494</v>
      </c>
      <c r="E83" s="7">
        <f t="shared" si="8"/>
        <v>0.78929846274234494</v>
      </c>
      <c r="F83" s="7">
        <f t="shared" si="8"/>
        <v>0.78929846274234494</v>
      </c>
      <c r="G83" s="7">
        <f t="shared" si="8"/>
        <v>0.78929846274234494</v>
      </c>
      <c r="H83" s="7">
        <f t="shared" si="8"/>
        <v>0.78929846274234494</v>
      </c>
      <c r="I83" s="7">
        <f t="shared" si="8"/>
        <v>0.78929846274234494</v>
      </c>
      <c r="J83" s="7">
        <f t="shared" si="8"/>
        <v>0.78929846274234494</v>
      </c>
      <c r="K83" s="7">
        <f t="shared" si="8"/>
        <v>0.78929846274234494</v>
      </c>
      <c r="L83" s="7">
        <f t="shared" si="8"/>
        <v>0.78929846274234494</v>
      </c>
      <c r="M83" s="7">
        <f t="shared" si="8"/>
        <v>0.78929846274234494</v>
      </c>
      <c r="N83" s="544">
        <f t="shared" si="8"/>
        <v>0.78929846274234494</v>
      </c>
    </row>
    <row r="84" spans="2:14">
      <c r="B84" s="453" t="s">
        <v>113</v>
      </c>
      <c r="C84" s="7">
        <f>TAN(C81)</f>
        <v>0.77791830258950889</v>
      </c>
      <c r="D84" s="7">
        <f t="shared" ref="D84:N84" si="9">TAN(D81)</f>
        <v>0.77791830258950889</v>
      </c>
      <c r="E84" s="7">
        <f t="shared" si="9"/>
        <v>0.77791830258950889</v>
      </c>
      <c r="F84" s="7">
        <f t="shared" si="9"/>
        <v>0.77791830258950889</v>
      </c>
      <c r="G84" s="7">
        <f t="shared" si="9"/>
        <v>0.77791830258950889</v>
      </c>
      <c r="H84" s="7">
        <f t="shared" si="9"/>
        <v>0.77791830258950889</v>
      </c>
      <c r="I84" s="7">
        <f t="shared" si="9"/>
        <v>0.77791830258950889</v>
      </c>
      <c r="J84" s="7">
        <f t="shared" si="9"/>
        <v>0.77791830258950889</v>
      </c>
      <c r="K84" s="7">
        <f t="shared" si="9"/>
        <v>0.77791830258950889</v>
      </c>
      <c r="L84" s="7">
        <f t="shared" si="9"/>
        <v>0.77791830258950889</v>
      </c>
      <c r="M84" s="7">
        <f t="shared" si="9"/>
        <v>0.77791830258950889</v>
      </c>
      <c r="N84" s="544">
        <f t="shared" si="9"/>
        <v>0.77791830258950889</v>
      </c>
    </row>
    <row r="85" spans="2:14">
      <c r="B85" s="453" t="s">
        <v>126</v>
      </c>
      <c r="C85" s="7">
        <f>(C80-C76)*C75</f>
        <v>6.7718774977380033E-2</v>
      </c>
      <c r="D85" s="7">
        <f t="shared" ref="D85:N85" si="10">(D80-D76)*D75</f>
        <v>6.7718774977380033E-2</v>
      </c>
      <c r="E85" s="7">
        <f t="shared" si="10"/>
        <v>6.7718774977380033E-2</v>
      </c>
      <c r="F85" s="7">
        <f t="shared" si="10"/>
        <v>6.7718774977380033E-2</v>
      </c>
      <c r="G85" s="7">
        <f t="shared" si="10"/>
        <v>6.7718774977380033E-2</v>
      </c>
      <c r="H85" s="7">
        <f t="shared" si="10"/>
        <v>6.7718774977380033E-2</v>
      </c>
      <c r="I85" s="7">
        <f t="shared" si="10"/>
        <v>6.7718774977380033E-2</v>
      </c>
      <c r="J85" s="7">
        <f t="shared" si="10"/>
        <v>6.7718774977380033E-2</v>
      </c>
      <c r="K85" s="7">
        <f t="shared" si="10"/>
        <v>6.7718774977380033E-2</v>
      </c>
      <c r="L85" s="7">
        <f t="shared" si="10"/>
        <v>6.7718774977380033E-2</v>
      </c>
      <c r="M85" s="7">
        <f t="shared" si="10"/>
        <v>6.7718774977380033E-2</v>
      </c>
      <c r="N85" s="544">
        <f t="shared" si="10"/>
        <v>6.7718774977380033E-2</v>
      </c>
    </row>
    <row r="86" spans="2:14">
      <c r="B86" s="28" t="s">
        <v>114</v>
      </c>
      <c r="C86" s="7">
        <f>SIN(C85)</f>
        <v>6.7667029017370803E-2</v>
      </c>
      <c r="D86" s="7">
        <f t="shared" ref="D86:N86" si="11">SIN(D85)</f>
        <v>6.7667029017370803E-2</v>
      </c>
      <c r="E86" s="7">
        <f t="shared" si="11"/>
        <v>6.7667029017370803E-2</v>
      </c>
      <c r="F86" s="7">
        <f t="shared" si="11"/>
        <v>6.7667029017370803E-2</v>
      </c>
      <c r="G86" s="7">
        <f t="shared" si="11"/>
        <v>6.7667029017370803E-2</v>
      </c>
      <c r="H86" s="7">
        <f t="shared" si="11"/>
        <v>6.7667029017370803E-2</v>
      </c>
      <c r="I86" s="7">
        <f t="shared" si="11"/>
        <v>6.7667029017370803E-2</v>
      </c>
      <c r="J86" s="7">
        <f t="shared" si="11"/>
        <v>6.7667029017370803E-2</v>
      </c>
      <c r="K86" s="7">
        <f t="shared" si="11"/>
        <v>6.7667029017370803E-2</v>
      </c>
      <c r="L86" s="7">
        <f t="shared" si="11"/>
        <v>6.7667029017370803E-2</v>
      </c>
      <c r="M86" s="7">
        <f t="shared" si="11"/>
        <v>6.7667029017370803E-2</v>
      </c>
      <c r="N86" s="544">
        <f t="shared" si="11"/>
        <v>6.7667029017370803E-2</v>
      </c>
    </row>
    <row r="87" spans="2:14">
      <c r="B87" s="28" t="s">
        <v>115</v>
      </c>
      <c r="C87" s="7">
        <f>COS(C85)</f>
        <v>0.99770795986799776</v>
      </c>
      <c r="D87" s="7">
        <f t="shared" ref="D87:N87" si="12">COS(D85)</f>
        <v>0.99770795986799776</v>
      </c>
      <c r="E87" s="7">
        <f t="shared" si="12"/>
        <v>0.99770795986799776</v>
      </c>
      <c r="F87" s="7">
        <f t="shared" si="12"/>
        <v>0.99770795986799776</v>
      </c>
      <c r="G87" s="7">
        <f t="shared" si="12"/>
        <v>0.99770795986799776</v>
      </c>
      <c r="H87" s="7">
        <f t="shared" si="12"/>
        <v>0.99770795986799776</v>
      </c>
      <c r="I87" s="7">
        <f t="shared" si="12"/>
        <v>0.99770795986799776</v>
      </c>
      <c r="J87" s="7">
        <f t="shared" si="12"/>
        <v>0.99770795986799776</v>
      </c>
      <c r="K87" s="7">
        <f t="shared" si="12"/>
        <v>0.99770795986799776</v>
      </c>
      <c r="L87" s="7">
        <f t="shared" si="12"/>
        <v>0.99770795986799776</v>
      </c>
      <c r="M87" s="7">
        <f t="shared" si="12"/>
        <v>0.99770795986799776</v>
      </c>
      <c r="N87" s="544">
        <f t="shared" si="12"/>
        <v>0.99770795986799776</v>
      </c>
    </row>
    <row r="88" spans="2:14">
      <c r="B88" s="28" t="s">
        <v>116</v>
      </c>
      <c r="C88" s="7">
        <f>TAN(C85)</f>
        <v>6.7822480865366186E-2</v>
      </c>
      <c r="D88" s="7">
        <f t="shared" ref="D88:N88" si="13">TAN(D85)</f>
        <v>6.7822480865366186E-2</v>
      </c>
      <c r="E88" s="7">
        <f t="shared" si="13"/>
        <v>6.7822480865366186E-2</v>
      </c>
      <c r="F88" s="7">
        <f t="shared" si="13"/>
        <v>6.7822480865366186E-2</v>
      </c>
      <c r="G88" s="7">
        <f t="shared" si="13"/>
        <v>6.7822480865366186E-2</v>
      </c>
      <c r="H88" s="7">
        <f t="shared" si="13"/>
        <v>6.7822480865366186E-2</v>
      </c>
      <c r="I88" s="7">
        <f t="shared" si="13"/>
        <v>6.7822480865366186E-2</v>
      </c>
      <c r="J88" s="7">
        <f t="shared" si="13"/>
        <v>6.7822480865366186E-2</v>
      </c>
      <c r="K88" s="7">
        <f t="shared" si="13"/>
        <v>6.7822480865366186E-2</v>
      </c>
      <c r="L88" s="7">
        <f t="shared" si="13"/>
        <v>6.7822480865366186E-2</v>
      </c>
      <c r="M88" s="7">
        <f t="shared" si="13"/>
        <v>6.7822480865366186E-2</v>
      </c>
      <c r="N88" s="544">
        <f t="shared" si="13"/>
        <v>6.7822480865366186E-2</v>
      </c>
    </row>
    <row r="89" spans="2:14">
      <c r="B89" s="454" t="s">
        <v>127</v>
      </c>
      <c r="C89" s="7">
        <f>COS(37.5*C75)</f>
        <v>0.79335334029123517</v>
      </c>
      <c r="D89" s="7">
        <f t="shared" ref="D89:N89" si="14">COS(37.5*D75)</f>
        <v>0.79335334029123517</v>
      </c>
      <c r="E89" s="7">
        <f t="shared" si="14"/>
        <v>0.79335334029123517</v>
      </c>
      <c r="F89" s="7">
        <f t="shared" si="14"/>
        <v>0.79335334029123517</v>
      </c>
      <c r="G89" s="7">
        <f t="shared" si="14"/>
        <v>0.79335334029123517</v>
      </c>
      <c r="H89" s="7">
        <f t="shared" si="14"/>
        <v>0.79335334029123517</v>
      </c>
      <c r="I89" s="7">
        <f t="shared" si="14"/>
        <v>0.79335334029123517</v>
      </c>
      <c r="J89" s="7">
        <f t="shared" si="14"/>
        <v>0.79335334029123517</v>
      </c>
      <c r="K89" s="7">
        <f t="shared" si="14"/>
        <v>0.79335334029123517</v>
      </c>
      <c r="L89" s="7">
        <f t="shared" si="14"/>
        <v>0.79335334029123517</v>
      </c>
      <c r="M89" s="7">
        <f t="shared" si="14"/>
        <v>0.79335334029123517</v>
      </c>
      <c r="N89" s="544">
        <f t="shared" si="14"/>
        <v>0.79335334029123517</v>
      </c>
    </row>
    <row r="90" spans="2:14">
      <c r="B90" s="454" t="s">
        <v>128</v>
      </c>
      <c r="C90" s="7">
        <f>23.45*C75</f>
        <v>0.40927970959267029</v>
      </c>
      <c r="D90" s="7">
        <f t="shared" ref="D90:N90" si="15">23.45*D75</f>
        <v>0.40927970959267029</v>
      </c>
      <c r="E90" s="7">
        <f t="shared" si="15"/>
        <v>0.40927970959267029</v>
      </c>
      <c r="F90" s="7">
        <f t="shared" si="15"/>
        <v>0.40927970959267029</v>
      </c>
      <c r="G90" s="7">
        <f t="shared" si="15"/>
        <v>0.40927970959267029</v>
      </c>
      <c r="H90" s="7">
        <f t="shared" si="15"/>
        <v>0.40927970959267029</v>
      </c>
      <c r="I90" s="7">
        <f t="shared" si="15"/>
        <v>0.40927970959267029</v>
      </c>
      <c r="J90" s="7">
        <f t="shared" si="15"/>
        <v>0.40927970959267029</v>
      </c>
      <c r="K90" s="7">
        <f t="shared" si="15"/>
        <v>0.40927970959267029</v>
      </c>
      <c r="L90" s="7">
        <f t="shared" si="15"/>
        <v>0.40927970959267029</v>
      </c>
      <c r="M90" s="7">
        <f t="shared" si="15"/>
        <v>0.40927970959267029</v>
      </c>
      <c r="N90" s="544">
        <f t="shared" si="15"/>
        <v>0.40927970959267029</v>
      </c>
    </row>
    <row r="91" spans="2:14">
      <c r="B91" s="13" t="s">
        <v>101</v>
      </c>
      <c r="C91" s="1">
        <v>31</v>
      </c>
      <c r="D91" s="1">
        <v>28</v>
      </c>
      <c r="E91" s="1">
        <v>31</v>
      </c>
      <c r="F91" s="1">
        <v>30</v>
      </c>
      <c r="G91" s="1">
        <v>31</v>
      </c>
      <c r="H91" s="1">
        <v>30</v>
      </c>
      <c r="I91" s="1">
        <v>31</v>
      </c>
      <c r="J91" s="1">
        <v>31</v>
      </c>
      <c r="K91" s="1">
        <v>30</v>
      </c>
      <c r="L91" s="1">
        <v>31</v>
      </c>
      <c r="M91" s="1">
        <v>30</v>
      </c>
      <c r="N91" s="2">
        <v>31</v>
      </c>
    </row>
    <row r="92" spans="2:14">
      <c r="B92" s="454" t="s">
        <v>117</v>
      </c>
      <c r="C92" s="7">
        <f>1353*3.6</f>
        <v>4870.8</v>
      </c>
      <c r="D92" s="7">
        <f t="shared" ref="D92:N92" si="16">1353*3.6</f>
        <v>4870.8</v>
      </c>
      <c r="E92" s="7">
        <f t="shared" si="16"/>
        <v>4870.8</v>
      </c>
      <c r="F92" s="7">
        <f t="shared" si="16"/>
        <v>4870.8</v>
      </c>
      <c r="G92" s="7">
        <f t="shared" si="16"/>
        <v>4870.8</v>
      </c>
      <c r="H92" s="7">
        <f t="shared" si="16"/>
        <v>4870.8</v>
      </c>
      <c r="I92" s="7">
        <f t="shared" si="16"/>
        <v>4870.8</v>
      </c>
      <c r="J92" s="7">
        <f t="shared" si="16"/>
        <v>4870.8</v>
      </c>
      <c r="K92" s="7">
        <f t="shared" si="16"/>
        <v>4870.8</v>
      </c>
      <c r="L92" s="7">
        <f t="shared" si="16"/>
        <v>4870.8</v>
      </c>
      <c r="M92" s="7">
        <f t="shared" si="16"/>
        <v>4870.8</v>
      </c>
      <c r="N92" s="544">
        <f t="shared" si="16"/>
        <v>4870.8</v>
      </c>
    </row>
    <row r="93" spans="2:14" ht="13.5" thickBot="1">
      <c r="B93" s="28" t="s">
        <v>118</v>
      </c>
      <c r="C93" s="7">
        <f>(24*C92)/PI()</f>
        <v>37210.171046976189</v>
      </c>
      <c r="D93" s="7">
        <f t="shared" ref="D93:N93" si="17">(24*D92)/PI()</f>
        <v>37210.171046976189</v>
      </c>
      <c r="E93" s="7">
        <f t="shared" si="17"/>
        <v>37210.171046976189</v>
      </c>
      <c r="F93" s="7">
        <f t="shared" si="17"/>
        <v>37210.171046976189</v>
      </c>
      <c r="G93" s="7">
        <f t="shared" si="17"/>
        <v>37210.171046976189</v>
      </c>
      <c r="H93" s="7">
        <f t="shared" si="17"/>
        <v>37210.171046976189</v>
      </c>
      <c r="I93" s="7">
        <f t="shared" si="17"/>
        <v>37210.171046976189</v>
      </c>
      <c r="J93" s="7">
        <f t="shared" si="17"/>
        <v>37210.171046976189</v>
      </c>
      <c r="K93" s="7">
        <f t="shared" si="17"/>
        <v>37210.171046976189</v>
      </c>
      <c r="L93" s="7">
        <f t="shared" si="17"/>
        <v>37210.171046976189</v>
      </c>
      <c r="M93" s="7">
        <f t="shared" si="17"/>
        <v>37210.171046976189</v>
      </c>
      <c r="N93" s="545">
        <f t="shared" si="17"/>
        <v>37210.171046976189</v>
      </c>
    </row>
    <row r="94" spans="2:14">
      <c r="B94" s="26" t="s">
        <v>101</v>
      </c>
      <c r="C94" s="27">
        <v>15</v>
      </c>
      <c r="D94" s="27">
        <v>46</v>
      </c>
      <c r="E94" s="27">
        <v>74</v>
      </c>
      <c r="F94" s="27">
        <v>105</v>
      </c>
      <c r="G94" s="27">
        <v>135</v>
      </c>
      <c r="H94" s="27">
        <v>166</v>
      </c>
      <c r="I94" s="27">
        <v>196</v>
      </c>
      <c r="J94" s="27">
        <v>227</v>
      </c>
      <c r="K94" s="27">
        <v>258</v>
      </c>
      <c r="L94" s="27">
        <v>270</v>
      </c>
      <c r="M94" s="27">
        <v>319</v>
      </c>
      <c r="N94" s="29">
        <v>349</v>
      </c>
    </row>
    <row r="95" spans="2:14">
      <c r="B95" s="454" t="s">
        <v>129</v>
      </c>
      <c r="C95" s="7">
        <f>(360*C75)/365</f>
        <v>1.7214206321039961E-2</v>
      </c>
      <c r="D95" s="7">
        <f t="shared" ref="D95:N95" si="18">(360*D75)/365</f>
        <v>1.7214206321039961E-2</v>
      </c>
      <c r="E95" s="7">
        <f t="shared" si="18"/>
        <v>1.7214206321039961E-2</v>
      </c>
      <c r="F95" s="7">
        <f t="shared" si="18"/>
        <v>1.7214206321039961E-2</v>
      </c>
      <c r="G95" s="7">
        <f t="shared" si="18"/>
        <v>1.7214206321039961E-2</v>
      </c>
      <c r="H95" s="7">
        <f t="shared" si="18"/>
        <v>1.7214206321039961E-2</v>
      </c>
      <c r="I95" s="7">
        <f t="shared" si="18"/>
        <v>1.7214206321039961E-2</v>
      </c>
      <c r="J95" s="7">
        <f t="shared" si="18"/>
        <v>1.7214206321039961E-2</v>
      </c>
      <c r="K95" s="7">
        <f t="shared" si="18"/>
        <v>1.7214206321039961E-2</v>
      </c>
      <c r="L95" s="7">
        <f t="shared" si="18"/>
        <v>1.7214206321039961E-2</v>
      </c>
      <c r="M95" s="7">
        <f t="shared" si="18"/>
        <v>1.7214206321039961E-2</v>
      </c>
      <c r="N95" s="544">
        <f t="shared" si="18"/>
        <v>1.7214206321039961E-2</v>
      </c>
    </row>
    <row r="96" spans="2:14">
      <c r="B96" s="454" t="s">
        <v>130</v>
      </c>
      <c r="C96" s="7">
        <f>C90*SIN(C95*(284+C94))</f>
        <v>-0.37122234990040354</v>
      </c>
      <c r="D96" s="7">
        <f t="shared" ref="D96:N96" si="19">D90*SIN(D95*(284+D94))</f>
        <v>-0.23193953024048489</v>
      </c>
      <c r="E96" s="7">
        <f t="shared" si="19"/>
        <v>-4.9198713707110125E-2</v>
      </c>
      <c r="F96" s="7">
        <f t="shared" si="19"/>
        <v>0.16432088762716554</v>
      </c>
      <c r="G96" s="7">
        <f t="shared" si="19"/>
        <v>0.32798083344699769</v>
      </c>
      <c r="H96" s="7">
        <f t="shared" si="19"/>
        <v>0.40691321620538912</v>
      </c>
      <c r="I96" s="7">
        <f t="shared" si="19"/>
        <v>0.37554836000057829</v>
      </c>
      <c r="J96" s="7">
        <f t="shared" si="19"/>
        <v>0.24056857736111795</v>
      </c>
      <c r="K96" s="7">
        <f t="shared" si="19"/>
        <v>3.8691973511018649E-2</v>
      </c>
      <c r="L96" s="7">
        <f t="shared" si="19"/>
        <v>-4.5699766008172903E-2</v>
      </c>
      <c r="M96" s="7">
        <f t="shared" si="19"/>
        <v>-0.33419245656714902</v>
      </c>
      <c r="N96" s="544">
        <f t="shared" si="19"/>
        <v>-0.40727641274141724</v>
      </c>
    </row>
    <row r="97" spans="2:14">
      <c r="B97" s="28" t="s">
        <v>132</v>
      </c>
      <c r="C97" s="7">
        <f>SIN(C96)</f>
        <v>-0.36275479176733588</v>
      </c>
      <c r="D97" s="7">
        <f t="shared" ref="D97:N97" si="20">SIN(D96)</f>
        <v>-0.22986554896822295</v>
      </c>
      <c r="E97" s="7">
        <f t="shared" si="20"/>
        <v>-4.9178868417837161E-2</v>
      </c>
      <c r="F97" s="7">
        <f t="shared" si="20"/>
        <v>0.16358240425600395</v>
      </c>
      <c r="G97" s="7">
        <f t="shared" si="20"/>
        <v>0.32213215206816698</v>
      </c>
      <c r="H97" s="7">
        <f t="shared" si="20"/>
        <v>0.39577647976650848</v>
      </c>
      <c r="I97" s="7">
        <f t="shared" si="20"/>
        <v>0.36678272715173194</v>
      </c>
      <c r="J97" s="7">
        <f t="shared" si="20"/>
        <v>0.23825486875759558</v>
      </c>
      <c r="K97" s="7">
        <f t="shared" si="20"/>
        <v>3.868232014248444E-2</v>
      </c>
      <c r="L97" s="7">
        <f t="shared" si="20"/>
        <v>-4.5683860581339865E-2</v>
      </c>
      <c r="M97" s="7">
        <f t="shared" si="20"/>
        <v>-0.32800641041381234</v>
      </c>
      <c r="N97" s="544">
        <f t="shared" si="20"/>
        <v>-0.3961099940583282</v>
      </c>
    </row>
    <row r="98" spans="2:14">
      <c r="B98" s="28" t="s">
        <v>133</v>
      </c>
      <c r="C98" s="7">
        <f>COS(C96)</f>
        <v>0.93188462861549382</v>
      </c>
      <c r="D98" s="7">
        <f t="shared" ref="D98:N98" si="21">COS(D96)</f>
        <v>0.97322239462393045</v>
      </c>
      <c r="E98" s="7">
        <f t="shared" si="21"/>
        <v>0.99878998738530667</v>
      </c>
      <c r="F98" s="7">
        <f t="shared" si="21"/>
        <v>0.9865296736631014</v>
      </c>
      <c r="G98" s="7">
        <f t="shared" si="21"/>
        <v>0.94669471140591643</v>
      </c>
      <c r="H98" s="7">
        <f t="shared" si="21"/>
        <v>0.91834687240912982</v>
      </c>
      <c r="I98" s="7">
        <f t="shared" si="21"/>
        <v>0.93030663281691062</v>
      </c>
      <c r="J98" s="7">
        <f t="shared" si="21"/>
        <v>0.97120266552007617</v>
      </c>
      <c r="K98" s="7">
        <f t="shared" si="21"/>
        <v>0.99925155897221118</v>
      </c>
      <c r="L98" s="7">
        <f t="shared" si="21"/>
        <v>0.99895594741829563</v>
      </c>
      <c r="M98" s="7">
        <f t="shared" si="21"/>
        <v>0.94467549705041343</v>
      </c>
      <c r="N98" s="544">
        <f t="shared" si="21"/>
        <v>0.91820306719543865</v>
      </c>
    </row>
    <row r="99" spans="2:14">
      <c r="B99" s="454" t="s">
        <v>134</v>
      </c>
      <c r="C99" s="7">
        <f>-C84*TAN(C96)</f>
        <v>0.30282030972773238</v>
      </c>
      <c r="D99" s="7">
        <f t="shared" ref="D99:N99" si="22">-D84*TAN(D96)</f>
        <v>0.18373664505147702</v>
      </c>
      <c r="E99" s="7">
        <f t="shared" si="22"/>
        <v>3.8303489548417051E-2</v>
      </c>
      <c r="F99" s="7">
        <f t="shared" si="22"/>
        <v>-0.12899130117377336</v>
      </c>
      <c r="G99" s="7">
        <f t="shared" si="22"/>
        <v>-0.26470254235837481</v>
      </c>
      <c r="H99" s="7">
        <f t="shared" si="22"/>
        <v>-0.33525650992542388</v>
      </c>
      <c r="I99" s="7">
        <f t="shared" si="22"/>
        <v>-0.30670209849098234</v>
      </c>
      <c r="J99" s="7">
        <f t="shared" si="22"/>
        <v>-0.19083846211268832</v>
      </c>
      <c r="K99" s="7">
        <f t="shared" si="22"/>
        <v>-3.0114223545887216E-2</v>
      </c>
      <c r="L99" s="7">
        <f t="shared" si="22"/>
        <v>3.557545392368601E-2</v>
      </c>
      <c r="M99" s="7">
        <f t="shared" si="22"/>
        <v>0.27010565090794747</v>
      </c>
      <c r="N99" s="544">
        <f t="shared" si="22"/>
        <v>0.33559157579137944</v>
      </c>
    </row>
    <row r="100" spans="2:14">
      <c r="B100" s="454" t="s">
        <v>134</v>
      </c>
      <c r="C100" s="7">
        <f>ATAN(SQRT(1-C99^2)/C99)/C75</f>
        <v>72.372923526477962</v>
      </c>
      <c r="D100" s="7">
        <f t="shared" ref="D100:N100" si="23">ATAN(SQRT(1-D99^2)/D99)/D75</f>
        <v>79.412515035884255</v>
      </c>
      <c r="E100" s="7">
        <f t="shared" si="23"/>
        <v>87.804834709481483</v>
      </c>
      <c r="F100" s="7">
        <f t="shared" si="23"/>
        <v>-82.588692631592835</v>
      </c>
      <c r="G100" s="7">
        <f t="shared" si="23"/>
        <v>-74.650721429230288</v>
      </c>
      <c r="H100" s="7">
        <f t="shared" si="23"/>
        <v>-70.411863069271121</v>
      </c>
      <c r="I100" s="7">
        <f t="shared" si="23"/>
        <v>-72.13940442708008</v>
      </c>
      <c r="J100" s="7">
        <f t="shared" si="23"/>
        <v>-78.998280075601585</v>
      </c>
      <c r="K100" s="7">
        <f t="shared" si="23"/>
        <v>-88.274321193752712</v>
      </c>
      <c r="L100" s="7">
        <f t="shared" si="23"/>
        <v>87.961246436124298</v>
      </c>
      <c r="M100" s="7">
        <f t="shared" si="23"/>
        <v>74.329446209462077</v>
      </c>
      <c r="N100" s="544">
        <f t="shared" si="23"/>
        <v>70.39148463022461</v>
      </c>
    </row>
    <row r="101" spans="2:14">
      <c r="B101" s="454" t="s">
        <v>134</v>
      </c>
      <c r="C101" s="7">
        <f>IF(C100&lt;0,C100+180,C100)</f>
        <v>72.372923526477962</v>
      </c>
      <c r="D101" s="7">
        <f t="shared" ref="D101:N101" si="24">IF(D100&lt;0,D100+180,D100)</f>
        <v>79.412515035884255</v>
      </c>
      <c r="E101" s="7">
        <f t="shared" si="24"/>
        <v>87.804834709481483</v>
      </c>
      <c r="F101" s="7">
        <f t="shared" si="24"/>
        <v>97.411307368407165</v>
      </c>
      <c r="G101" s="7">
        <f t="shared" si="24"/>
        <v>105.34927857076971</v>
      </c>
      <c r="H101" s="7">
        <f t="shared" si="24"/>
        <v>109.58813693072888</v>
      </c>
      <c r="I101" s="7">
        <f t="shared" si="24"/>
        <v>107.86059557291992</v>
      </c>
      <c r="J101" s="7">
        <f t="shared" si="24"/>
        <v>101.00171992439842</v>
      </c>
      <c r="K101" s="7">
        <f t="shared" si="24"/>
        <v>91.725678806247288</v>
      </c>
      <c r="L101" s="7">
        <f t="shared" si="24"/>
        <v>87.961246436124298</v>
      </c>
      <c r="M101" s="7">
        <f t="shared" si="24"/>
        <v>74.329446209462077</v>
      </c>
      <c r="N101" s="544">
        <f t="shared" si="24"/>
        <v>70.39148463022461</v>
      </c>
    </row>
    <row r="102" spans="2:14">
      <c r="B102" s="454" t="s">
        <v>142</v>
      </c>
      <c r="C102" s="7">
        <f>C101*C75</f>
        <v>1.2631458048311059</v>
      </c>
      <c r="D102" s="7">
        <f t="shared" ref="D102:N102" si="25">D101*D75</f>
        <v>1.3860098546656832</v>
      </c>
      <c r="E102" s="7">
        <f t="shared" si="25"/>
        <v>1.5324834648498507</v>
      </c>
      <c r="F102" s="7">
        <f t="shared" si="25"/>
        <v>1.7001480422509181</v>
      </c>
      <c r="G102" s="7">
        <f t="shared" si="25"/>
        <v>1.8386917756606376</v>
      </c>
      <c r="H102" s="7">
        <f t="shared" si="25"/>
        <v>1.912673810567612</v>
      </c>
      <c r="I102" s="7">
        <f t="shared" si="25"/>
        <v>1.8825225259094722</v>
      </c>
      <c r="J102" s="7">
        <f t="shared" si="25"/>
        <v>1.7628125628579105</v>
      </c>
      <c r="K102" s="7">
        <f t="shared" si="25"/>
        <v>1.6009151037957972</v>
      </c>
      <c r="L102" s="7">
        <f t="shared" si="25"/>
        <v>1.5352133644684971</v>
      </c>
      <c r="M102" s="7">
        <f t="shared" si="25"/>
        <v>1.2972935675391319</v>
      </c>
      <c r="N102" s="544">
        <f t="shared" si="25"/>
        <v>1.2285631721644026</v>
      </c>
    </row>
    <row r="103" spans="2:14">
      <c r="B103" s="28" t="s">
        <v>135</v>
      </c>
      <c r="C103" s="7">
        <f>-C88*TAN(C96)</f>
        <v>2.6401261666921947E-2</v>
      </c>
      <c r="D103" s="7">
        <f t="shared" ref="D103:N103" si="26">-D88*TAN(D96)</f>
        <v>1.6019002319124041E-2</v>
      </c>
      <c r="E103" s="7">
        <f t="shared" si="26"/>
        <v>3.3394736675132495E-3</v>
      </c>
      <c r="F103" s="7">
        <f t="shared" si="26"/>
        <v>-1.124605247946369E-2</v>
      </c>
      <c r="G103" s="7">
        <f t="shared" si="26"/>
        <v>-2.3077980109677359E-2</v>
      </c>
      <c r="H103" s="7">
        <f t="shared" si="26"/>
        <v>-2.9229198173789252E-2</v>
      </c>
      <c r="I103" s="7">
        <f t="shared" si="26"/>
        <v>-2.673969379178974E-2</v>
      </c>
      <c r="J103" s="7">
        <f t="shared" si="26"/>
        <v>-1.6638171260309753E-2</v>
      </c>
      <c r="K103" s="7">
        <f t="shared" si="26"/>
        <v>-2.6254959465763315E-3</v>
      </c>
      <c r="L103" s="7">
        <f t="shared" si="26"/>
        <v>3.101631026014184E-3</v>
      </c>
      <c r="M103" s="7">
        <f t="shared" si="26"/>
        <v>2.3549047861904104E-2</v>
      </c>
      <c r="N103" s="544">
        <f t="shared" si="26"/>
        <v>2.9258410750748511E-2</v>
      </c>
    </row>
    <row r="104" spans="2:14">
      <c r="B104" s="28" t="s">
        <v>135</v>
      </c>
      <c r="C104" s="7">
        <f>ATAN(SQRT(1-C103^2)/C103)/C75</f>
        <v>88.487143347717463</v>
      </c>
      <c r="D104" s="7">
        <f t="shared" ref="D104:N104" si="27">ATAN(SQRT(1-D103^2)/D103)/D75</f>
        <v>89.082139517125754</v>
      </c>
      <c r="E104" s="7">
        <f t="shared" si="27"/>
        <v>89.808661897418858</v>
      </c>
      <c r="F104" s="7">
        <f t="shared" si="27"/>
        <v>-89.355635073721672</v>
      </c>
      <c r="G104" s="7">
        <f t="shared" si="27"/>
        <v>-88.677611739818914</v>
      </c>
      <c r="H104" s="7">
        <f t="shared" si="27"/>
        <v>-88.325051750769788</v>
      </c>
      <c r="I104" s="7">
        <f t="shared" si="27"/>
        <v>-88.467745766757275</v>
      </c>
      <c r="J104" s="7">
        <f t="shared" si="27"/>
        <v>-89.046659019153708</v>
      </c>
      <c r="K104" s="7">
        <f t="shared" si="27"/>
        <v>-89.849569990307387</v>
      </c>
      <c r="L104" s="7">
        <f t="shared" si="27"/>
        <v>89.822289347668971</v>
      </c>
      <c r="M104" s="7">
        <f t="shared" si="27"/>
        <v>88.650614207655849</v>
      </c>
      <c r="N104" s="544">
        <f t="shared" si="27"/>
        <v>88.323377277243154</v>
      </c>
    </row>
    <row r="105" spans="2:14">
      <c r="B105" s="28" t="s">
        <v>135</v>
      </c>
      <c r="C105" s="7">
        <f>IF(C104&lt;0,C104+180,C104)</f>
        <v>88.487143347717463</v>
      </c>
      <c r="D105" s="7">
        <f t="shared" ref="D105:N105" si="28">IF(D104&lt;0,D104+180,D104)</f>
        <v>89.082139517125754</v>
      </c>
      <c r="E105" s="7">
        <f t="shared" si="28"/>
        <v>89.808661897418858</v>
      </c>
      <c r="F105" s="7">
        <f t="shared" si="28"/>
        <v>90.644364926278328</v>
      </c>
      <c r="G105" s="7">
        <f t="shared" si="28"/>
        <v>91.322388260181086</v>
      </c>
      <c r="H105" s="7">
        <f t="shared" si="28"/>
        <v>91.674948249230212</v>
      </c>
      <c r="I105" s="7">
        <f t="shared" si="28"/>
        <v>91.532254233242725</v>
      </c>
      <c r="J105" s="7">
        <f t="shared" si="28"/>
        <v>90.953340980846292</v>
      </c>
      <c r="K105" s="7">
        <f t="shared" si="28"/>
        <v>90.150430009692613</v>
      </c>
      <c r="L105" s="7">
        <f t="shared" si="28"/>
        <v>89.822289347668971</v>
      </c>
      <c r="M105" s="7">
        <f t="shared" si="28"/>
        <v>88.650614207655849</v>
      </c>
      <c r="N105" s="544">
        <f t="shared" si="28"/>
        <v>88.323377277243154</v>
      </c>
    </row>
    <row r="106" spans="2:14">
      <c r="B106" s="28" t="s">
        <v>136</v>
      </c>
      <c r="C106" s="7">
        <f>C105*C75</f>
        <v>1.5443919971018674</v>
      </c>
      <c r="D106" s="7">
        <f t="shared" ref="D106:N106" si="29">D105*D75</f>
        <v>1.5547766392947959</v>
      </c>
      <c r="E106" s="7">
        <f t="shared" si="29"/>
        <v>1.5674568469203369</v>
      </c>
      <c r="F106" s="7">
        <f t="shared" si="29"/>
        <v>1.5820426163428241</v>
      </c>
      <c r="G106" s="7">
        <f t="shared" si="29"/>
        <v>1.5938763559247759</v>
      </c>
      <c r="H106" s="7">
        <f t="shared" si="29"/>
        <v>1.6000296885444785</v>
      </c>
      <c r="I106" s="7">
        <f t="shared" si="29"/>
        <v>1.5975392081426032</v>
      </c>
      <c r="J106" s="7">
        <f t="shared" si="29"/>
        <v>1.5874352658048565</v>
      </c>
      <c r="K106" s="7">
        <f t="shared" si="29"/>
        <v>1.5734218257578396</v>
      </c>
      <c r="L106" s="7">
        <f t="shared" si="29"/>
        <v>1.5676946907958531</v>
      </c>
      <c r="M106" s="7">
        <f t="shared" si="29"/>
        <v>1.5472451018388587</v>
      </c>
      <c r="N106" s="544">
        <f t="shared" si="29"/>
        <v>1.5415337399690376</v>
      </c>
    </row>
    <row r="107" spans="2:14">
      <c r="B107" s="454" t="s">
        <v>137</v>
      </c>
      <c r="C107" s="7">
        <f>C102*C82*C97+C83*C98*SIN(C102)</f>
        <v>0.41965327661589297</v>
      </c>
      <c r="D107" s="7">
        <f t="shared" ref="D107:N107" si="30">D102*D82*D97+D83*D98*SIN(D102)</f>
        <v>0.55946436520158616</v>
      </c>
      <c r="E107" s="7">
        <f t="shared" si="30"/>
        <v>0.74148954205508899</v>
      </c>
      <c r="F107" s="7">
        <f t="shared" si="30"/>
        <v>0.94292604837324412</v>
      </c>
      <c r="G107" s="7">
        <f t="shared" si="30"/>
        <v>1.0842502843581097</v>
      </c>
      <c r="H107" s="7">
        <f t="shared" si="30"/>
        <v>1.1477004834155249</v>
      </c>
      <c r="I107" s="7">
        <f t="shared" si="30"/>
        <v>1.12286035255836</v>
      </c>
      <c r="J107" s="7">
        <f t="shared" si="30"/>
        <v>1.0103636219249039</v>
      </c>
      <c r="K107" s="7">
        <f t="shared" si="30"/>
        <v>0.82637385982653222</v>
      </c>
      <c r="L107" s="7">
        <f t="shared" si="30"/>
        <v>0.74491203564158803</v>
      </c>
      <c r="M107" s="7">
        <f t="shared" si="30"/>
        <v>0.45664254227725803</v>
      </c>
      <c r="N107" s="544">
        <f t="shared" si="30"/>
        <v>0.38390159749318331</v>
      </c>
    </row>
    <row r="108" spans="2:14">
      <c r="B108" s="454" t="s">
        <v>137</v>
      </c>
      <c r="C108" s="7">
        <f>C93*(1+0.033*COS(C95*C94))*C107</f>
        <v>16113.593859111455</v>
      </c>
      <c r="D108" s="7">
        <f t="shared" ref="D108:N108" si="31">D93*(1+0.033*COS(D95*D94))*D107</f>
        <v>21300.391428925424</v>
      </c>
      <c r="E108" s="7">
        <f t="shared" si="31"/>
        <v>27857.365715986991</v>
      </c>
      <c r="F108" s="7">
        <f t="shared" si="31"/>
        <v>34814.933101809205</v>
      </c>
      <c r="G108" s="7">
        <f t="shared" si="31"/>
        <v>39434.575352811044</v>
      </c>
      <c r="H108" s="7">
        <f t="shared" si="31"/>
        <v>41353.295919669195</v>
      </c>
      <c r="I108" s="7">
        <f t="shared" si="31"/>
        <v>40440.089973169517</v>
      </c>
      <c r="J108" s="7">
        <f t="shared" si="31"/>
        <v>36701.699200869007</v>
      </c>
      <c r="K108" s="7">
        <f t="shared" si="31"/>
        <v>30477.75241366648</v>
      </c>
      <c r="L108" s="7">
        <f t="shared" si="31"/>
        <v>27659.29812180937</v>
      </c>
      <c r="M108" s="7">
        <f t="shared" si="31"/>
        <v>17385.67368826165</v>
      </c>
      <c r="N108" s="544">
        <f t="shared" si="31"/>
        <v>14738.682819286218</v>
      </c>
    </row>
    <row r="109" spans="2:14">
      <c r="B109" s="454" t="s">
        <v>143</v>
      </c>
      <c r="C109" s="7">
        <f>VLOOKUP('Intensidad y Ángulo incli.'!$P$20,$A$3:$O$71,3,FALSE)*86.01</f>
        <v>6708.7800000000007</v>
      </c>
      <c r="D109" s="7">
        <f>VLOOKUP('Intensidad y Ángulo incli.'!$P$20,$A$3:$O$71,4,FALSE)*86.01</f>
        <v>7826.9100000000008</v>
      </c>
      <c r="E109" s="7">
        <f>VLOOKUP('Intensidad y Ángulo incli.'!$P$20,$A$3:$O$71,5,FALSE)*86.01</f>
        <v>12557.460000000001</v>
      </c>
      <c r="F109" s="7">
        <f>VLOOKUP('Intensidad y Ángulo incli.'!$P$20,$A$3:$O$71,6,FALSE)*86.01</f>
        <v>13847.61</v>
      </c>
      <c r="G109" s="7">
        <f>VLOOKUP('Intensidad y Ángulo incli.'!$P$20,$A$3:$O$71,7,FALSE)*86.01</f>
        <v>17632.05</v>
      </c>
      <c r="H109" s="7">
        <f>VLOOKUP('Intensidad y Ángulo incli.'!$P$20,$A$3:$O$71,8,FALSE)*86.01</f>
        <v>18578.16</v>
      </c>
      <c r="I109" s="7">
        <f>VLOOKUP('Intensidad y Ángulo incli.'!$P$20,$A$3:$O$71,9,FALSE)*86.01</f>
        <v>20212.350000000002</v>
      </c>
      <c r="J109" s="7">
        <f>VLOOKUP('Intensidad y Ángulo incli.'!$P$20,$A$3:$O$71,10,FALSE)*86.01</f>
        <v>17374.02</v>
      </c>
      <c r="K109" s="7">
        <f>VLOOKUP('Intensidad y Ángulo incli.'!$P$20,$A$3:$O$71,11,FALSE)*86.01</f>
        <v>13847.61</v>
      </c>
      <c r="L109" s="7">
        <f>VLOOKUP('Intensidad y Ángulo incli.'!$P$20,$A$3:$O$71,12,FALSE)*86.01</f>
        <v>10321.200000000001</v>
      </c>
      <c r="M109" s="7">
        <f>VLOOKUP('Intensidad y Ángulo incli.'!$P$20,$A$3:$O$71,13,FALSE)*86.01</f>
        <v>6450.75</v>
      </c>
      <c r="N109" s="544">
        <f>VLOOKUP('Intensidad y Ángulo incli.'!$P$20,$A$3:$O$71,14,FALSE)*86.01</f>
        <v>5762.67</v>
      </c>
    </row>
    <row r="110" spans="2:14">
      <c r="B110" s="454" t="s">
        <v>138</v>
      </c>
      <c r="C110" s="7">
        <f>C109/C108</f>
        <v>0.41634287537950521</v>
      </c>
      <c r="D110" s="7">
        <f t="shared" ref="D110:N110" si="32">D109/D108</f>
        <v>0.3674538107018655</v>
      </c>
      <c r="E110" s="7">
        <f t="shared" si="32"/>
        <v>0.45077700914101265</v>
      </c>
      <c r="F110" s="7">
        <f t="shared" si="32"/>
        <v>0.39774914860544114</v>
      </c>
      <c r="G110" s="7">
        <f t="shared" si="32"/>
        <v>0.4471215891701778</v>
      </c>
      <c r="H110" s="7">
        <f t="shared" si="32"/>
        <v>0.44925463827814321</v>
      </c>
      <c r="I110" s="7">
        <f t="shared" si="32"/>
        <v>0.49980971885597036</v>
      </c>
      <c r="J110" s="7">
        <f t="shared" si="32"/>
        <v>0.47338462191932046</v>
      </c>
      <c r="K110" s="7">
        <f t="shared" si="32"/>
        <v>0.45435141712715721</v>
      </c>
      <c r="L110" s="7">
        <f t="shared" si="32"/>
        <v>0.3731548051055471</v>
      </c>
      <c r="M110" s="7">
        <f t="shared" si="32"/>
        <v>0.3710382534302008</v>
      </c>
      <c r="N110" s="544">
        <f t="shared" si="32"/>
        <v>0.39098948465457795</v>
      </c>
    </row>
    <row r="111" spans="2:14">
      <c r="B111" s="454" t="s">
        <v>139</v>
      </c>
      <c r="C111" s="7">
        <f>C110</f>
        <v>0.41634287537950521</v>
      </c>
      <c r="D111" s="7">
        <f t="shared" ref="D111:N111" si="33">D110</f>
        <v>0.3674538107018655</v>
      </c>
      <c r="E111" s="7">
        <f t="shared" si="33"/>
        <v>0.45077700914101265</v>
      </c>
      <c r="F111" s="7">
        <f t="shared" si="33"/>
        <v>0.39774914860544114</v>
      </c>
      <c r="G111" s="7">
        <f t="shared" si="33"/>
        <v>0.4471215891701778</v>
      </c>
      <c r="H111" s="7">
        <f t="shared" si="33"/>
        <v>0.44925463827814321</v>
      </c>
      <c r="I111" s="7">
        <f t="shared" si="33"/>
        <v>0.49980971885597036</v>
      </c>
      <c r="J111" s="7">
        <f t="shared" si="33"/>
        <v>0.47338462191932046</v>
      </c>
      <c r="K111" s="7">
        <f t="shared" si="33"/>
        <v>0.45435141712715721</v>
      </c>
      <c r="L111" s="7">
        <f t="shared" si="33"/>
        <v>0.3731548051055471</v>
      </c>
      <c r="M111" s="7">
        <f t="shared" si="33"/>
        <v>0.3710382534302008</v>
      </c>
      <c r="N111" s="544">
        <f t="shared" si="33"/>
        <v>0.39098948465457795</v>
      </c>
    </row>
    <row r="112" spans="2:14">
      <c r="B112" s="454" t="s">
        <v>140</v>
      </c>
      <c r="C112" s="7">
        <f>1.39-4.03*C110+5.53*C110^2-3.11*C110^3</f>
        <v>0.44626910040382178</v>
      </c>
      <c r="D112" s="7">
        <f t="shared" ref="D112:N112" si="34">1.39-4.03*D110+5.53*D110^2-3.11*D110^3</f>
        <v>0.50153350858285328</v>
      </c>
      <c r="E112" s="7">
        <f t="shared" si="34"/>
        <v>0.41219485728632826</v>
      </c>
      <c r="F112" s="7">
        <f t="shared" si="34"/>
        <v>0.46624238024235098</v>
      </c>
      <c r="G112" s="7">
        <f t="shared" si="34"/>
        <v>0.4156497544624983</v>
      </c>
      <c r="H112" s="7">
        <f t="shared" si="34"/>
        <v>0.41362936400598216</v>
      </c>
      <c r="I112" s="7">
        <f t="shared" si="34"/>
        <v>0.36890844039281112</v>
      </c>
      <c r="J112" s="7">
        <f t="shared" si="34"/>
        <v>0.39157868471143858</v>
      </c>
      <c r="K112" s="7">
        <f t="shared" si="34"/>
        <v>0.40885075633983514</v>
      </c>
      <c r="L112" s="7">
        <f t="shared" si="34"/>
        <v>0.49461342213873327</v>
      </c>
      <c r="M112" s="7">
        <f t="shared" si="34"/>
        <v>0.49716684857030835</v>
      </c>
      <c r="N112" s="544">
        <f t="shared" si="34"/>
        <v>0.47380900792504843</v>
      </c>
    </row>
    <row r="113" spans="2:15">
      <c r="B113" s="454" t="s">
        <v>131</v>
      </c>
      <c r="C113" s="7">
        <f>C83*C98*SIN(C102)+C102*C82*C97</f>
        <v>0.41965327661589297</v>
      </c>
      <c r="D113" s="7">
        <f t="shared" ref="D113:N113" si="35">D83*D98*SIN(D102)+D102*D82*D97</f>
        <v>0.55946436520158616</v>
      </c>
      <c r="E113" s="7">
        <f t="shared" si="35"/>
        <v>0.74148954205508899</v>
      </c>
      <c r="F113" s="7">
        <f t="shared" si="35"/>
        <v>0.94292604837324412</v>
      </c>
      <c r="G113" s="7">
        <f t="shared" si="35"/>
        <v>1.0842502843581097</v>
      </c>
      <c r="H113" s="7">
        <f t="shared" si="35"/>
        <v>1.1477004834155249</v>
      </c>
      <c r="I113" s="7">
        <f t="shared" si="35"/>
        <v>1.12286035255836</v>
      </c>
      <c r="J113" s="7">
        <f t="shared" si="35"/>
        <v>1.0103636219249039</v>
      </c>
      <c r="K113" s="7">
        <f t="shared" si="35"/>
        <v>0.82637385982653222</v>
      </c>
      <c r="L113" s="7">
        <f t="shared" si="35"/>
        <v>0.74491203564158803</v>
      </c>
      <c r="M113" s="7">
        <f t="shared" si="35"/>
        <v>0.45664254227725803</v>
      </c>
      <c r="N113" s="544">
        <f t="shared" si="35"/>
        <v>0.38390159749318331</v>
      </c>
    </row>
    <row r="114" spans="2:15">
      <c r="B114" s="454" t="s">
        <v>131</v>
      </c>
      <c r="C114" s="7">
        <f>(C87*C98*SIN(IF(C105&gt;C101,C102,C106))+IF(C105&gt;C101,C102,C106)*C86*C97)/C113</f>
        <v>2.0376082651084211</v>
      </c>
      <c r="D114" s="7">
        <f t="shared" ref="D114:N114" si="36">(D87*D98*SIN(IF(D105&gt;D101,D102,D106))+IF(D105&gt;D101,D102,D106)*D86*D97)/D113</f>
        <v>1.6674925264595202</v>
      </c>
      <c r="E114" s="7">
        <f t="shared" si="36"/>
        <v>1.3360534498781416</v>
      </c>
      <c r="F114" s="7">
        <f t="shared" si="36"/>
        <v>1.0623506578751143</v>
      </c>
      <c r="G114" s="7">
        <f t="shared" si="36"/>
        <v>0.90294296953035513</v>
      </c>
      <c r="H114" s="7">
        <f t="shared" si="36"/>
        <v>0.83532327959188557</v>
      </c>
      <c r="I114" s="7">
        <f t="shared" si="36"/>
        <v>0.86163156876896096</v>
      </c>
      <c r="J114" s="7">
        <f t="shared" si="36"/>
        <v>0.98423489210752424</v>
      </c>
      <c r="K114" s="7">
        <f t="shared" si="36"/>
        <v>1.2114084269395544</v>
      </c>
      <c r="L114" s="7">
        <f t="shared" si="36"/>
        <v>1.3307472088936481</v>
      </c>
      <c r="M114" s="7">
        <f t="shared" si="36"/>
        <v>1.9242273990381846</v>
      </c>
      <c r="N114" s="544">
        <f t="shared" si="36"/>
        <v>2.1621213670153141</v>
      </c>
    </row>
    <row r="115" spans="2:15">
      <c r="B115" s="454" t="s">
        <v>141</v>
      </c>
      <c r="C115" s="7">
        <f>((1-C112)*C114+C112*(1+C79)/2+0.2*(1-C79)/2)</f>
        <v>1.5535043764620542</v>
      </c>
      <c r="D115" s="7">
        <f t="shared" ref="D115:N115" si="37">((1-D112)*D114+D112*(1+D79)/2+0.2*(1-D79)/2)</f>
        <v>1.3069472074197841</v>
      </c>
      <c r="E115" s="7">
        <f t="shared" si="37"/>
        <v>1.179395272118539</v>
      </c>
      <c r="F115" s="7">
        <f t="shared" si="37"/>
        <v>1.0105214169302665</v>
      </c>
      <c r="G115" s="7">
        <f t="shared" si="37"/>
        <v>0.92485069766351324</v>
      </c>
      <c r="H115" s="7">
        <f t="shared" si="37"/>
        <v>0.88517710939889227</v>
      </c>
      <c r="I115" s="7">
        <f t="shared" si="37"/>
        <v>0.89823835244125494</v>
      </c>
      <c r="J115" s="7">
        <f t="shared" si="37"/>
        <v>0.97403179382790372</v>
      </c>
      <c r="K115" s="7">
        <f t="shared" si="37"/>
        <v>1.1071211155499159</v>
      </c>
      <c r="L115" s="7">
        <f t="shared" si="37"/>
        <v>1.1419712871365744</v>
      </c>
      <c r="M115" s="7">
        <f t="shared" si="37"/>
        <v>1.4393299928021634</v>
      </c>
      <c r="N115" s="544">
        <f t="shared" si="37"/>
        <v>1.588092268695706</v>
      </c>
    </row>
    <row r="116" spans="2:15">
      <c r="B116" s="453"/>
      <c r="N116" s="544"/>
    </row>
    <row r="117" spans="2:15">
      <c r="B117" s="30" t="s">
        <v>144</v>
      </c>
      <c r="C117" s="7">
        <f>C97*C82*C79</f>
        <v>-0.18465565740694068</v>
      </c>
      <c r="D117" s="7">
        <f t="shared" ref="D117:N117" si="38">D97*D82*D79</f>
        <v>-0.11701009889666343</v>
      </c>
      <c r="E117" s="7">
        <f t="shared" si="38"/>
        <v>-2.5033869942783931E-2</v>
      </c>
      <c r="F117" s="7">
        <f t="shared" si="38"/>
        <v>8.3269517270702711E-2</v>
      </c>
      <c r="G117" s="7">
        <f t="shared" si="38"/>
        <v>0.16397722555850225</v>
      </c>
      <c r="H117" s="7">
        <f t="shared" si="38"/>
        <v>0.20146492263116136</v>
      </c>
      <c r="I117" s="7">
        <f t="shared" si="38"/>
        <v>0.18670602606719913</v>
      </c>
      <c r="J117" s="7">
        <f t="shared" si="38"/>
        <v>0.12128057414898552</v>
      </c>
      <c r="K117" s="7">
        <f t="shared" si="38"/>
        <v>1.9690737153701156E-2</v>
      </c>
      <c r="L117" s="7">
        <f t="shared" si="38"/>
        <v>-2.3254781190994958E-2</v>
      </c>
      <c r="M117" s="7">
        <f t="shared" si="38"/>
        <v>-0.16696744115650616</v>
      </c>
      <c r="N117" s="544">
        <f t="shared" si="38"/>
        <v>-0.20163469378845067</v>
      </c>
    </row>
    <row r="118" spans="2:15">
      <c r="B118" s="30" t="s">
        <v>144</v>
      </c>
      <c r="C118" s="7">
        <f>C117-C97*C83*C78</f>
        <v>-2.4546539020710606E-2</v>
      </c>
      <c r="D118" s="7">
        <f t="shared" ref="D118:N118" si="39">D117-D97*D83*D78</f>
        <v>-1.5554318772126596E-2</v>
      </c>
      <c r="E118" s="7">
        <f t="shared" si="39"/>
        <v>-3.3277879162712451E-3</v>
      </c>
      <c r="F118" s="7">
        <f t="shared" si="39"/>
        <v>1.1069135295522295E-2</v>
      </c>
      <c r="G118" s="7">
        <f t="shared" si="39"/>
        <v>2.179772568142474E-2</v>
      </c>
      <c r="H118" s="7">
        <f t="shared" si="39"/>
        <v>2.6781018540753154E-2</v>
      </c>
      <c r="I118" s="7">
        <f t="shared" si="39"/>
        <v>2.4819097441246635E-2</v>
      </c>
      <c r="J118" s="7">
        <f t="shared" si="39"/>
        <v>1.6121999117750072E-2</v>
      </c>
      <c r="K118" s="7">
        <f t="shared" si="39"/>
        <v>2.6175176795407186E-3</v>
      </c>
      <c r="L118" s="7">
        <f t="shared" si="39"/>
        <v>-3.0912911195830443E-3</v>
      </c>
      <c r="M118" s="7">
        <f t="shared" si="39"/>
        <v>-2.2195219291355012E-2</v>
      </c>
      <c r="N118" s="544">
        <f t="shared" si="39"/>
        <v>-2.6803586462015444E-2</v>
      </c>
    </row>
    <row r="119" spans="2:15">
      <c r="B119" s="30" t="s">
        <v>144</v>
      </c>
      <c r="C119" s="7">
        <f>C118+C98*C83*C79*C89</f>
        <v>0.45922940962417014</v>
      </c>
      <c r="D119" s="7">
        <f t="shared" ref="D119:N119" si="40">D118+D98*D83*D79*D89</f>
        <v>0.48968160072268979</v>
      </c>
      <c r="E119" s="7">
        <f t="shared" si="40"/>
        <v>0.51518121932233318</v>
      </c>
      <c r="F119" s="7">
        <f t="shared" si="40"/>
        <v>0.52321335796797741</v>
      </c>
      <c r="G119" s="7">
        <f t="shared" si="40"/>
        <v>0.51326213879007787</v>
      </c>
      <c r="H119" s="7">
        <f t="shared" si="40"/>
        <v>0.50352901474372369</v>
      </c>
      <c r="I119" s="7">
        <f t="shared" si="40"/>
        <v>0.50777584981335333</v>
      </c>
      <c r="J119" s="7">
        <f t="shared" si="40"/>
        <v>0.52030940216190402</v>
      </c>
      <c r="K119" s="7">
        <f t="shared" si="40"/>
        <v>0.52136614388541358</v>
      </c>
      <c r="L119" s="7">
        <f t="shared" si="40"/>
        <v>0.51550387214084092</v>
      </c>
      <c r="M119" s="7">
        <f t="shared" si="40"/>
        <v>0.46822094459163788</v>
      </c>
      <c r="N119" s="544">
        <f t="shared" si="40"/>
        <v>0.44986975510932237</v>
      </c>
    </row>
    <row r="120" spans="2:15">
      <c r="B120" s="30" t="s">
        <v>144</v>
      </c>
      <c r="C120" s="7">
        <f>C119+C98*C82*C78*C89</f>
        <v>0.71307270699694936</v>
      </c>
      <c r="D120" s="7">
        <f t="shared" ref="D120:N120" si="41">D119+D98*D82*D78*D89</f>
        <v>0.75478521349008598</v>
      </c>
      <c r="E120" s="7">
        <f t="shared" si="41"/>
        <v>0.78724938741464623</v>
      </c>
      <c r="F120" s="7">
        <f t="shared" si="41"/>
        <v>0.79194184390811984</v>
      </c>
      <c r="G120" s="7">
        <f t="shared" si="41"/>
        <v>0.77113966973045023</v>
      </c>
      <c r="H120" s="7">
        <f t="shared" si="41"/>
        <v>0.75368465747672442</v>
      </c>
      <c r="I120" s="7">
        <f t="shared" si="41"/>
        <v>0.76118930464505774</v>
      </c>
      <c r="J120" s="7">
        <f t="shared" si="41"/>
        <v>0.78486284521968297</v>
      </c>
      <c r="K120" s="7">
        <f t="shared" si="41"/>
        <v>0.79356004305000272</v>
      </c>
      <c r="L120" s="7">
        <f t="shared" si="41"/>
        <v>0.7876172473765195</v>
      </c>
      <c r="M120" s="7">
        <f t="shared" si="41"/>
        <v>0.72554844603869761</v>
      </c>
      <c r="N120" s="544">
        <f t="shared" si="41"/>
        <v>0.69998622562239166</v>
      </c>
    </row>
    <row r="121" spans="2:15">
      <c r="B121" s="30" t="s">
        <v>144</v>
      </c>
      <c r="C121" s="7">
        <f>ATAN(SQRT(1-C120^2)/C120)/C75</f>
        <v>44.51452764634152</v>
      </c>
      <c r="D121" s="7">
        <f t="shared" ref="D121:N121" si="42">ATAN(SQRT(1-D120^2)/D120)/D75</f>
        <v>40.993394261469057</v>
      </c>
      <c r="E121" s="7">
        <f t="shared" si="42"/>
        <v>38.070799639555283</v>
      </c>
      <c r="F121" s="7">
        <f t="shared" si="42"/>
        <v>37.632648086130715</v>
      </c>
      <c r="G121" s="7">
        <f t="shared" si="42"/>
        <v>39.543659211268306</v>
      </c>
      <c r="H121" s="7">
        <f t="shared" si="42"/>
        <v>41.089429602672915</v>
      </c>
      <c r="I121" s="7">
        <f t="shared" si="42"/>
        <v>40.430843169027391</v>
      </c>
      <c r="J121" s="7">
        <f t="shared" si="42"/>
        <v>38.292005098459128</v>
      </c>
      <c r="K121" s="7">
        <f t="shared" si="42"/>
        <v>37.480541117005487</v>
      </c>
      <c r="L121" s="7">
        <f t="shared" si="42"/>
        <v>38.036606209375222</v>
      </c>
      <c r="M121" s="7">
        <f t="shared" si="42"/>
        <v>43.485508785619118</v>
      </c>
      <c r="N121" s="544">
        <f t="shared" si="42"/>
        <v>45.574101108977338</v>
      </c>
    </row>
    <row r="123" spans="2:15">
      <c r="C123" s="17">
        <f>C109*C115*1.05</f>
        <v>10943.225045257155</v>
      </c>
      <c r="D123" s="17">
        <f t="shared" ref="D123:N123" si="43">D109*D115*1.05</f>
        <v>10740.826075587282</v>
      </c>
      <c r="E123" s="17">
        <f t="shared" si="43"/>
        <v>15550.719401508553</v>
      </c>
      <c r="F123" s="17">
        <f t="shared" si="43"/>
        <v>14692.971802212616</v>
      </c>
      <c r="G123" s="17">
        <f t="shared" si="43"/>
        <v>17122.364430924845</v>
      </c>
      <c r="H123" s="17">
        <f t="shared" si="43"/>
        <v>17267.210065087631</v>
      </c>
      <c r="I123" s="17">
        <f t="shared" si="43"/>
        <v>19063.2833611143</v>
      </c>
      <c r="J123" s="17">
        <f t="shared" si="43"/>
        <v>17768.990259931968</v>
      </c>
      <c r="K123" s="17">
        <f t="shared" si="43"/>
        <v>16097.530502445179</v>
      </c>
      <c r="L123" s="17">
        <f>L109*L115*1.05</f>
        <v>12375.839751233712</v>
      </c>
      <c r="M123" s="17">
        <f t="shared" si="43"/>
        <v>9748.9958486219839</v>
      </c>
      <c r="N123" s="17">
        <f t="shared" si="43"/>
        <v>9609.234257746919</v>
      </c>
      <c r="O123" s="17">
        <f>SUM(C123:N123)/86.01</f>
        <v>1987.9222276673897</v>
      </c>
    </row>
    <row r="127" spans="2:15" ht="13.5" thickBot="1"/>
    <row r="128" spans="2:15">
      <c r="B128" s="26" t="s">
        <v>110</v>
      </c>
      <c r="C128" s="27">
        <f>PI()/180</f>
        <v>1.7453292519943295E-2</v>
      </c>
      <c r="D128" s="27">
        <f t="shared" ref="D128:N128" si="44">PI()/180</f>
        <v>1.7453292519943295E-2</v>
      </c>
      <c r="E128" s="27">
        <f t="shared" si="44"/>
        <v>1.7453292519943295E-2</v>
      </c>
      <c r="F128" s="27">
        <f t="shared" si="44"/>
        <v>1.7453292519943295E-2</v>
      </c>
      <c r="G128" s="27">
        <f t="shared" si="44"/>
        <v>1.7453292519943295E-2</v>
      </c>
      <c r="H128" s="27">
        <f t="shared" si="44"/>
        <v>1.7453292519943295E-2</v>
      </c>
      <c r="I128" s="27">
        <f t="shared" si="44"/>
        <v>1.7453292519943295E-2</v>
      </c>
      <c r="J128" s="27">
        <f t="shared" si="44"/>
        <v>1.7453292519943295E-2</v>
      </c>
      <c r="K128" s="27">
        <f t="shared" si="44"/>
        <v>1.7453292519943295E-2</v>
      </c>
      <c r="L128" s="27">
        <f t="shared" si="44"/>
        <v>1.7453292519943295E-2</v>
      </c>
      <c r="M128" s="27">
        <f t="shared" si="44"/>
        <v>1.7453292519943295E-2</v>
      </c>
      <c r="N128" s="29">
        <f t="shared" si="44"/>
        <v>1.7453292519943295E-2</v>
      </c>
    </row>
    <row r="129" spans="2:14">
      <c r="B129" s="453" t="s">
        <v>120</v>
      </c>
      <c r="C129" s="7">
        <f>'Intensidad y Ángulo incli.'!$Z$23</f>
        <v>29.837199999999999</v>
      </c>
      <c r="D129" s="7">
        <f>'Intensidad y Ángulo incli.'!$Z$23</f>
        <v>29.837199999999999</v>
      </c>
      <c r="E129" s="7">
        <f>'Intensidad y Ángulo incli.'!$Z$23</f>
        <v>29.837199999999999</v>
      </c>
      <c r="F129" s="7">
        <f>'Intensidad y Ángulo incli.'!$Z$23</f>
        <v>29.837199999999999</v>
      </c>
      <c r="G129" s="7">
        <f>'Intensidad y Ángulo incli.'!$Z$23</f>
        <v>29.837199999999999</v>
      </c>
      <c r="H129" s="7">
        <f>'Intensidad y Ángulo incli.'!$Z$23</f>
        <v>29.837199999999999</v>
      </c>
      <c r="I129" s="7">
        <f>'Intensidad y Ángulo incli.'!$Z$23</f>
        <v>29.837199999999999</v>
      </c>
      <c r="J129" s="7">
        <f>'Intensidad y Ángulo incli.'!$Z$23</f>
        <v>29.837199999999999</v>
      </c>
      <c r="K129" s="7">
        <f>'Intensidad y Ángulo incli.'!$Z$23</f>
        <v>29.837199999999999</v>
      </c>
      <c r="L129" s="7">
        <f>'Intensidad y Ángulo incli.'!$Z$23</f>
        <v>29.837199999999999</v>
      </c>
      <c r="M129" s="7">
        <f>'Intensidad y Ángulo incli.'!$Z$23</f>
        <v>29.837199999999999</v>
      </c>
      <c r="N129" s="544">
        <f>'Intensidad y Ángulo incli.'!$Z$23</f>
        <v>29.837199999999999</v>
      </c>
    </row>
    <row r="130" spans="2:14">
      <c r="B130" s="453" t="s">
        <v>121</v>
      </c>
      <c r="C130" s="7">
        <f t="shared" ref="C130:N130" si="45">C129*C128</f>
        <v>0.52075737957605206</v>
      </c>
      <c r="D130" s="7">
        <f t="shared" si="45"/>
        <v>0.52075737957605206</v>
      </c>
      <c r="E130" s="7">
        <f t="shared" si="45"/>
        <v>0.52075737957605206</v>
      </c>
      <c r="F130" s="7">
        <f t="shared" si="45"/>
        <v>0.52075737957605206</v>
      </c>
      <c r="G130" s="7">
        <f t="shared" si="45"/>
        <v>0.52075737957605206</v>
      </c>
      <c r="H130" s="7">
        <f t="shared" si="45"/>
        <v>0.52075737957605206</v>
      </c>
      <c r="I130" s="7">
        <f t="shared" si="45"/>
        <v>0.52075737957605206</v>
      </c>
      <c r="J130" s="7">
        <f t="shared" si="45"/>
        <v>0.52075737957605206</v>
      </c>
      <c r="K130" s="7">
        <f t="shared" si="45"/>
        <v>0.52075737957605206</v>
      </c>
      <c r="L130" s="7">
        <f t="shared" si="45"/>
        <v>0.52075737957605206</v>
      </c>
      <c r="M130" s="7">
        <f t="shared" si="45"/>
        <v>0.52075737957605206</v>
      </c>
      <c r="N130" s="544">
        <f t="shared" si="45"/>
        <v>0.52075737957605206</v>
      </c>
    </row>
    <row r="131" spans="2:14">
      <c r="B131" s="453" t="s">
        <v>122</v>
      </c>
      <c r="C131" s="7">
        <f t="shared" ref="C131:N131" si="46">SIN(C130)</f>
        <v>0.49753726379215824</v>
      </c>
      <c r="D131" s="7">
        <f t="shared" si="46"/>
        <v>0.49753726379215824</v>
      </c>
      <c r="E131" s="7">
        <f t="shared" si="46"/>
        <v>0.49753726379215824</v>
      </c>
      <c r="F131" s="7">
        <f t="shared" si="46"/>
        <v>0.49753726379215824</v>
      </c>
      <c r="G131" s="7">
        <f t="shared" si="46"/>
        <v>0.49753726379215824</v>
      </c>
      <c r="H131" s="7">
        <f t="shared" si="46"/>
        <v>0.49753726379215824</v>
      </c>
      <c r="I131" s="7">
        <f t="shared" si="46"/>
        <v>0.49753726379215824</v>
      </c>
      <c r="J131" s="7">
        <f t="shared" si="46"/>
        <v>0.49753726379215824</v>
      </c>
      <c r="K131" s="7">
        <f t="shared" si="46"/>
        <v>0.49753726379215824</v>
      </c>
      <c r="L131" s="7">
        <f t="shared" si="46"/>
        <v>0.49753726379215824</v>
      </c>
      <c r="M131" s="7">
        <f t="shared" si="46"/>
        <v>0.49753726379215824</v>
      </c>
      <c r="N131" s="544">
        <f t="shared" si="46"/>
        <v>0.49753726379215824</v>
      </c>
    </row>
    <row r="132" spans="2:14">
      <c r="B132" s="453" t="s">
        <v>123</v>
      </c>
      <c r="C132" s="7">
        <f>COS(C130)</f>
        <v>0.86744260394461392</v>
      </c>
      <c r="D132" s="7">
        <f t="shared" ref="D132:N132" si="47">COS(D130)</f>
        <v>0.86744260394461392</v>
      </c>
      <c r="E132" s="7">
        <f t="shared" si="47"/>
        <v>0.86744260394461392</v>
      </c>
      <c r="F132" s="7">
        <f t="shared" si="47"/>
        <v>0.86744260394461392</v>
      </c>
      <c r="G132" s="7">
        <f t="shared" si="47"/>
        <v>0.86744260394461392</v>
      </c>
      <c r="H132" s="7">
        <f t="shared" si="47"/>
        <v>0.86744260394461392</v>
      </c>
      <c r="I132" s="7">
        <f t="shared" si="47"/>
        <v>0.86744260394461392</v>
      </c>
      <c r="J132" s="7">
        <f t="shared" si="47"/>
        <v>0.86744260394461392</v>
      </c>
      <c r="K132" s="7">
        <f t="shared" si="47"/>
        <v>0.86744260394461392</v>
      </c>
      <c r="L132" s="7">
        <f t="shared" si="47"/>
        <v>0.86744260394461392</v>
      </c>
      <c r="M132" s="7">
        <f t="shared" si="47"/>
        <v>0.86744260394461392</v>
      </c>
      <c r="N132" s="544">
        <f t="shared" si="47"/>
        <v>0.86744260394461392</v>
      </c>
    </row>
    <row r="133" spans="2:14">
      <c r="B133" s="453" t="s">
        <v>124</v>
      </c>
      <c r="C133" s="7">
        <f>'Intensidad y Ángulo incli.'!$S$7</f>
        <v>37.880000000000003</v>
      </c>
      <c r="D133" s="7">
        <f>C133</f>
        <v>37.880000000000003</v>
      </c>
      <c r="E133" s="7">
        <f t="shared" ref="E133:N133" si="48">D133</f>
        <v>37.880000000000003</v>
      </c>
      <c r="F133" s="7">
        <f t="shared" si="48"/>
        <v>37.880000000000003</v>
      </c>
      <c r="G133" s="7">
        <f t="shared" si="48"/>
        <v>37.880000000000003</v>
      </c>
      <c r="H133" s="7">
        <f t="shared" si="48"/>
        <v>37.880000000000003</v>
      </c>
      <c r="I133" s="7">
        <f t="shared" si="48"/>
        <v>37.880000000000003</v>
      </c>
      <c r="J133" s="7">
        <f t="shared" si="48"/>
        <v>37.880000000000003</v>
      </c>
      <c r="K133" s="7">
        <f t="shared" si="48"/>
        <v>37.880000000000003</v>
      </c>
      <c r="L133" s="7">
        <f t="shared" si="48"/>
        <v>37.880000000000003</v>
      </c>
      <c r="M133" s="7">
        <f t="shared" si="48"/>
        <v>37.880000000000003</v>
      </c>
      <c r="N133" s="544">
        <f t="shared" si="48"/>
        <v>37.880000000000003</v>
      </c>
    </row>
    <row r="134" spans="2:14">
      <c r="B134" s="453" t="s">
        <v>125</v>
      </c>
      <c r="C134" s="7">
        <f t="shared" ref="C134:N134" si="49">C133*C128</f>
        <v>0.66113072065545209</v>
      </c>
      <c r="D134" s="7">
        <f t="shared" si="49"/>
        <v>0.66113072065545209</v>
      </c>
      <c r="E134" s="7">
        <f t="shared" si="49"/>
        <v>0.66113072065545209</v>
      </c>
      <c r="F134" s="7">
        <f t="shared" si="49"/>
        <v>0.66113072065545209</v>
      </c>
      <c r="G134" s="7">
        <f t="shared" si="49"/>
        <v>0.66113072065545209</v>
      </c>
      <c r="H134" s="7">
        <f t="shared" si="49"/>
        <v>0.66113072065545209</v>
      </c>
      <c r="I134" s="7">
        <f t="shared" si="49"/>
        <v>0.66113072065545209</v>
      </c>
      <c r="J134" s="7">
        <f t="shared" si="49"/>
        <v>0.66113072065545209</v>
      </c>
      <c r="K134" s="7">
        <f t="shared" si="49"/>
        <v>0.66113072065545209</v>
      </c>
      <c r="L134" s="7">
        <f t="shared" si="49"/>
        <v>0.66113072065545209</v>
      </c>
      <c r="M134" s="7">
        <f t="shared" si="49"/>
        <v>0.66113072065545209</v>
      </c>
      <c r="N134" s="544">
        <f t="shared" si="49"/>
        <v>0.66113072065545209</v>
      </c>
    </row>
    <row r="135" spans="2:14">
      <c r="B135" s="453" t="s">
        <v>111</v>
      </c>
      <c r="C135" s="7">
        <f t="shared" ref="C135:N135" si="50">SIN(C134)</f>
        <v>0.6140097203730337</v>
      </c>
      <c r="D135" s="7">
        <f t="shared" si="50"/>
        <v>0.6140097203730337</v>
      </c>
      <c r="E135" s="7">
        <f t="shared" si="50"/>
        <v>0.6140097203730337</v>
      </c>
      <c r="F135" s="7">
        <f t="shared" si="50"/>
        <v>0.6140097203730337</v>
      </c>
      <c r="G135" s="7">
        <f t="shared" si="50"/>
        <v>0.6140097203730337</v>
      </c>
      <c r="H135" s="7">
        <f t="shared" si="50"/>
        <v>0.6140097203730337</v>
      </c>
      <c r="I135" s="7">
        <f t="shared" si="50"/>
        <v>0.6140097203730337</v>
      </c>
      <c r="J135" s="7">
        <f t="shared" si="50"/>
        <v>0.6140097203730337</v>
      </c>
      <c r="K135" s="7">
        <f t="shared" si="50"/>
        <v>0.6140097203730337</v>
      </c>
      <c r="L135" s="7">
        <f t="shared" si="50"/>
        <v>0.6140097203730337</v>
      </c>
      <c r="M135" s="7">
        <f t="shared" si="50"/>
        <v>0.6140097203730337</v>
      </c>
      <c r="N135" s="544">
        <f t="shared" si="50"/>
        <v>0.6140097203730337</v>
      </c>
    </row>
    <row r="136" spans="2:14">
      <c r="B136" s="453" t="s">
        <v>112</v>
      </c>
      <c r="C136" s="7">
        <f>COS(C134)</f>
        <v>0.78929846274234494</v>
      </c>
      <c r="D136" s="7">
        <f t="shared" ref="D136:N136" si="51">COS(D134)</f>
        <v>0.78929846274234494</v>
      </c>
      <c r="E136" s="7">
        <f t="shared" si="51"/>
        <v>0.78929846274234494</v>
      </c>
      <c r="F136" s="7">
        <f t="shared" si="51"/>
        <v>0.78929846274234494</v>
      </c>
      <c r="G136" s="7">
        <f t="shared" si="51"/>
        <v>0.78929846274234494</v>
      </c>
      <c r="H136" s="7">
        <f t="shared" si="51"/>
        <v>0.78929846274234494</v>
      </c>
      <c r="I136" s="7">
        <f t="shared" si="51"/>
        <v>0.78929846274234494</v>
      </c>
      <c r="J136" s="7">
        <f t="shared" si="51"/>
        <v>0.78929846274234494</v>
      </c>
      <c r="K136" s="7">
        <f t="shared" si="51"/>
        <v>0.78929846274234494</v>
      </c>
      <c r="L136" s="7">
        <f t="shared" si="51"/>
        <v>0.78929846274234494</v>
      </c>
      <c r="M136" s="7">
        <f t="shared" si="51"/>
        <v>0.78929846274234494</v>
      </c>
      <c r="N136" s="544">
        <f t="shared" si="51"/>
        <v>0.78929846274234494</v>
      </c>
    </row>
    <row r="137" spans="2:14">
      <c r="B137" s="453" t="s">
        <v>113</v>
      </c>
      <c r="C137" s="7">
        <f>TAN(C134)</f>
        <v>0.77791830258950889</v>
      </c>
      <c r="D137" s="7">
        <f t="shared" ref="D137:N137" si="52">TAN(D134)</f>
        <v>0.77791830258950889</v>
      </c>
      <c r="E137" s="7">
        <f t="shared" si="52"/>
        <v>0.77791830258950889</v>
      </c>
      <c r="F137" s="7">
        <f t="shared" si="52"/>
        <v>0.77791830258950889</v>
      </c>
      <c r="G137" s="7">
        <f t="shared" si="52"/>
        <v>0.77791830258950889</v>
      </c>
      <c r="H137" s="7">
        <f t="shared" si="52"/>
        <v>0.77791830258950889</v>
      </c>
      <c r="I137" s="7">
        <f t="shared" si="52"/>
        <v>0.77791830258950889</v>
      </c>
      <c r="J137" s="7">
        <f t="shared" si="52"/>
        <v>0.77791830258950889</v>
      </c>
      <c r="K137" s="7">
        <f t="shared" si="52"/>
        <v>0.77791830258950889</v>
      </c>
      <c r="L137" s="7">
        <f t="shared" si="52"/>
        <v>0.77791830258950889</v>
      </c>
      <c r="M137" s="7">
        <f t="shared" si="52"/>
        <v>0.77791830258950889</v>
      </c>
      <c r="N137" s="544">
        <f t="shared" si="52"/>
        <v>0.77791830258950889</v>
      </c>
    </row>
    <row r="138" spans="2:14">
      <c r="B138" s="453" t="s">
        <v>126</v>
      </c>
      <c r="C138" s="7">
        <f>(C133-C129)*C128</f>
        <v>0.1403733410794</v>
      </c>
      <c r="D138" s="7">
        <f t="shared" ref="D138:N138" si="53">(D133-D129)*D128</f>
        <v>0.1403733410794</v>
      </c>
      <c r="E138" s="7">
        <f t="shared" si="53"/>
        <v>0.1403733410794</v>
      </c>
      <c r="F138" s="7">
        <f t="shared" si="53"/>
        <v>0.1403733410794</v>
      </c>
      <c r="G138" s="7">
        <f t="shared" si="53"/>
        <v>0.1403733410794</v>
      </c>
      <c r="H138" s="7">
        <f t="shared" si="53"/>
        <v>0.1403733410794</v>
      </c>
      <c r="I138" s="7">
        <f t="shared" si="53"/>
        <v>0.1403733410794</v>
      </c>
      <c r="J138" s="7">
        <f t="shared" si="53"/>
        <v>0.1403733410794</v>
      </c>
      <c r="K138" s="7">
        <f t="shared" si="53"/>
        <v>0.1403733410794</v>
      </c>
      <c r="L138" s="7">
        <f t="shared" si="53"/>
        <v>0.1403733410794</v>
      </c>
      <c r="M138" s="7">
        <f t="shared" si="53"/>
        <v>0.1403733410794</v>
      </c>
      <c r="N138" s="544">
        <f t="shared" si="53"/>
        <v>0.1403733410794</v>
      </c>
    </row>
    <row r="139" spans="2:14">
      <c r="B139" s="28" t="s">
        <v>114</v>
      </c>
      <c r="C139" s="7">
        <f t="shared" ref="C139:N139" si="54">SIN(C138)</f>
        <v>0.13991279321950553</v>
      </c>
      <c r="D139" s="7">
        <f t="shared" si="54"/>
        <v>0.13991279321950553</v>
      </c>
      <c r="E139" s="7">
        <f t="shared" si="54"/>
        <v>0.13991279321950553</v>
      </c>
      <c r="F139" s="7">
        <f t="shared" si="54"/>
        <v>0.13991279321950553</v>
      </c>
      <c r="G139" s="7">
        <f t="shared" si="54"/>
        <v>0.13991279321950553</v>
      </c>
      <c r="H139" s="7">
        <f t="shared" si="54"/>
        <v>0.13991279321950553</v>
      </c>
      <c r="I139" s="7">
        <f t="shared" si="54"/>
        <v>0.13991279321950553</v>
      </c>
      <c r="J139" s="7">
        <f t="shared" si="54"/>
        <v>0.13991279321950553</v>
      </c>
      <c r="K139" s="7">
        <f t="shared" si="54"/>
        <v>0.13991279321950553</v>
      </c>
      <c r="L139" s="7">
        <f t="shared" si="54"/>
        <v>0.13991279321950553</v>
      </c>
      <c r="M139" s="7">
        <f t="shared" si="54"/>
        <v>0.13991279321950553</v>
      </c>
      <c r="N139" s="544">
        <f t="shared" si="54"/>
        <v>0.13991279321950553</v>
      </c>
    </row>
    <row r="140" spans="2:14">
      <c r="B140" s="28" t="s">
        <v>115</v>
      </c>
      <c r="C140" s="7">
        <f>COS(C138)</f>
        <v>0.99016383002688801</v>
      </c>
      <c r="D140" s="7">
        <f t="shared" ref="D140:N140" si="55">COS(D138)</f>
        <v>0.99016383002688801</v>
      </c>
      <c r="E140" s="7">
        <f t="shared" si="55"/>
        <v>0.99016383002688801</v>
      </c>
      <c r="F140" s="7">
        <f t="shared" si="55"/>
        <v>0.99016383002688801</v>
      </c>
      <c r="G140" s="7">
        <f t="shared" si="55"/>
        <v>0.99016383002688801</v>
      </c>
      <c r="H140" s="7">
        <f t="shared" si="55"/>
        <v>0.99016383002688801</v>
      </c>
      <c r="I140" s="7">
        <f t="shared" si="55"/>
        <v>0.99016383002688801</v>
      </c>
      <c r="J140" s="7">
        <f t="shared" si="55"/>
        <v>0.99016383002688801</v>
      </c>
      <c r="K140" s="7">
        <f t="shared" si="55"/>
        <v>0.99016383002688801</v>
      </c>
      <c r="L140" s="7">
        <f t="shared" si="55"/>
        <v>0.99016383002688801</v>
      </c>
      <c r="M140" s="7">
        <f t="shared" si="55"/>
        <v>0.99016383002688801</v>
      </c>
      <c r="N140" s="544">
        <f t="shared" si="55"/>
        <v>0.99016383002688801</v>
      </c>
    </row>
    <row r="141" spans="2:14">
      <c r="B141" s="28" t="s">
        <v>116</v>
      </c>
      <c r="C141" s="7">
        <f>TAN(C138)</f>
        <v>0.1413026703022531</v>
      </c>
      <c r="D141" s="7">
        <f t="shared" ref="D141:N141" si="56">TAN(D138)</f>
        <v>0.1413026703022531</v>
      </c>
      <c r="E141" s="7">
        <f t="shared" si="56"/>
        <v>0.1413026703022531</v>
      </c>
      <c r="F141" s="7">
        <f t="shared" si="56"/>
        <v>0.1413026703022531</v>
      </c>
      <c r="G141" s="7">
        <f t="shared" si="56"/>
        <v>0.1413026703022531</v>
      </c>
      <c r="H141" s="7">
        <f t="shared" si="56"/>
        <v>0.1413026703022531</v>
      </c>
      <c r="I141" s="7">
        <f t="shared" si="56"/>
        <v>0.1413026703022531</v>
      </c>
      <c r="J141" s="7">
        <f t="shared" si="56"/>
        <v>0.1413026703022531</v>
      </c>
      <c r="K141" s="7">
        <f t="shared" si="56"/>
        <v>0.1413026703022531</v>
      </c>
      <c r="L141" s="7">
        <f t="shared" si="56"/>
        <v>0.1413026703022531</v>
      </c>
      <c r="M141" s="7">
        <f t="shared" si="56"/>
        <v>0.1413026703022531</v>
      </c>
      <c r="N141" s="544">
        <f t="shared" si="56"/>
        <v>0.1413026703022531</v>
      </c>
    </row>
    <row r="142" spans="2:14">
      <c r="B142" s="454" t="s">
        <v>127</v>
      </c>
      <c r="C142" s="7">
        <f>COS(37.5*C128)</f>
        <v>0.79335334029123517</v>
      </c>
      <c r="D142" s="7">
        <f t="shared" ref="D142:N142" si="57">COS(37.5*D128)</f>
        <v>0.79335334029123517</v>
      </c>
      <c r="E142" s="7">
        <f t="shared" si="57"/>
        <v>0.79335334029123517</v>
      </c>
      <c r="F142" s="7">
        <f t="shared" si="57"/>
        <v>0.79335334029123517</v>
      </c>
      <c r="G142" s="7">
        <f t="shared" si="57"/>
        <v>0.79335334029123517</v>
      </c>
      <c r="H142" s="7">
        <f t="shared" si="57"/>
        <v>0.79335334029123517</v>
      </c>
      <c r="I142" s="7">
        <f t="shared" si="57"/>
        <v>0.79335334029123517</v>
      </c>
      <c r="J142" s="7">
        <f t="shared" si="57"/>
        <v>0.79335334029123517</v>
      </c>
      <c r="K142" s="7">
        <f t="shared" si="57"/>
        <v>0.79335334029123517</v>
      </c>
      <c r="L142" s="7">
        <f t="shared" si="57"/>
        <v>0.79335334029123517</v>
      </c>
      <c r="M142" s="7">
        <f t="shared" si="57"/>
        <v>0.79335334029123517</v>
      </c>
      <c r="N142" s="544">
        <f t="shared" si="57"/>
        <v>0.79335334029123517</v>
      </c>
    </row>
    <row r="143" spans="2:14">
      <c r="B143" s="454" t="s">
        <v>128</v>
      </c>
      <c r="C143" s="7">
        <f>23.45*C128</f>
        <v>0.40927970959267029</v>
      </c>
      <c r="D143" s="7">
        <f t="shared" ref="D143:N143" si="58">23.45*D128</f>
        <v>0.40927970959267029</v>
      </c>
      <c r="E143" s="7">
        <f t="shared" si="58"/>
        <v>0.40927970959267029</v>
      </c>
      <c r="F143" s="7">
        <f t="shared" si="58"/>
        <v>0.40927970959267029</v>
      </c>
      <c r="G143" s="7">
        <f t="shared" si="58"/>
        <v>0.40927970959267029</v>
      </c>
      <c r="H143" s="7">
        <f t="shared" si="58"/>
        <v>0.40927970959267029</v>
      </c>
      <c r="I143" s="7">
        <f t="shared" si="58"/>
        <v>0.40927970959267029</v>
      </c>
      <c r="J143" s="7">
        <f t="shared" si="58"/>
        <v>0.40927970959267029</v>
      </c>
      <c r="K143" s="7">
        <f t="shared" si="58"/>
        <v>0.40927970959267029</v>
      </c>
      <c r="L143" s="7">
        <f t="shared" si="58"/>
        <v>0.40927970959267029</v>
      </c>
      <c r="M143" s="7">
        <f t="shared" si="58"/>
        <v>0.40927970959267029</v>
      </c>
      <c r="N143" s="544">
        <f t="shared" si="58"/>
        <v>0.40927970959267029</v>
      </c>
    </row>
    <row r="144" spans="2:14">
      <c r="B144" s="13" t="s">
        <v>101</v>
      </c>
      <c r="C144" s="1">
        <v>31</v>
      </c>
      <c r="D144" s="1">
        <v>28</v>
      </c>
      <c r="E144" s="1">
        <v>31</v>
      </c>
      <c r="F144" s="1">
        <v>30</v>
      </c>
      <c r="G144" s="1">
        <v>31</v>
      </c>
      <c r="H144" s="1">
        <v>30</v>
      </c>
      <c r="I144" s="1">
        <v>31</v>
      </c>
      <c r="J144" s="1">
        <v>31</v>
      </c>
      <c r="K144" s="1">
        <v>30</v>
      </c>
      <c r="L144" s="1">
        <v>31</v>
      </c>
      <c r="M144" s="1">
        <v>30</v>
      </c>
      <c r="N144" s="2">
        <v>31</v>
      </c>
    </row>
    <row r="145" spans="2:14">
      <c r="B145" s="454" t="s">
        <v>117</v>
      </c>
      <c r="C145" s="7">
        <f>1353*3.6</f>
        <v>4870.8</v>
      </c>
      <c r="D145" s="7">
        <f t="shared" ref="D145:N145" si="59">1353*3.6</f>
        <v>4870.8</v>
      </c>
      <c r="E145" s="7">
        <f t="shared" si="59"/>
        <v>4870.8</v>
      </c>
      <c r="F145" s="7">
        <f t="shared" si="59"/>
        <v>4870.8</v>
      </c>
      <c r="G145" s="7">
        <f t="shared" si="59"/>
        <v>4870.8</v>
      </c>
      <c r="H145" s="7">
        <f t="shared" si="59"/>
        <v>4870.8</v>
      </c>
      <c r="I145" s="7">
        <f t="shared" si="59"/>
        <v>4870.8</v>
      </c>
      <c r="J145" s="7">
        <f t="shared" si="59"/>
        <v>4870.8</v>
      </c>
      <c r="K145" s="7">
        <f t="shared" si="59"/>
        <v>4870.8</v>
      </c>
      <c r="L145" s="7">
        <f t="shared" si="59"/>
        <v>4870.8</v>
      </c>
      <c r="M145" s="7">
        <f t="shared" si="59"/>
        <v>4870.8</v>
      </c>
      <c r="N145" s="544">
        <f t="shared" si="59"/>
        <v>4870.8</v>
      </c>
    </row>
    <row r="146" spans="2:14" ht="13.5" thickBot="1">
      <c r="B146" s="28" t="s">
        <v>118</v>
      </c>
      <c r="C146" s="7">
        <f t="shared" ref="C146:N146" si="60">(24*C145)/PI()</f>
        <v>37210.171046976189</v>
      </c>
      <c r="D146" s="7">
        <f t="shared" si="60"/>
        <v>37210.171046976189</v>
      </c>
      <c r="E146" s="7">
        <f t="shared" si="60"/>
        <v>37210.171046976189</v>
      </c>
      <c r="F146" s="7">
        <f t="shared" si="60"/>
        <v>37210.171046976189</v>
      </c>
      <c r="G146" s="7">
        <f t="shared" si="60"/>
        <v>37210.171046976189</v>
      </c>
      <c r="H146" s="7">
        <f t="shared" si="60"/>
        <v>37210.171046976189</v>
      </c>
      <c r="I146" s="7">
        <f t="shared" si="60"/>
        <v>37210.171046976189</v>
      </c>
      <c r="J146" s="7">
        <f t="shared" si="60"/>
        <v>37210.171046976189</v>
      </c>
      <c r="K146" s="7">
        <f t="shared" si="60"/>
        <v>37210.171046976189</v>
      </c>
      <c r="L146" s="7">
        <f t="shared" si="60"/>
        <v>37210.171046976189</v>
      </c>
      <c r="M146" s="7">
        <f t="shared" si="60"/>
        <v>37210.171046976189</v>
      </c>
      <c r="N146" s="545">
        <f t="shared" si="60"/>
        <v>37210.171046976189</v>
      </c>
    </row>
    <row r="147" spans="2:14">
      <c r="B147" s="26" t="s">
        <v>101</v>
      </c>
      <c r="C147" s="27">
        <v>15</v>
      </c>
      <c r="D147" s="27">
        <v>46</v>
      </c>
      <c r="E147" s="27">
        <v>74</v>
      </c>
      <c r="F147" s="27">
        <v>105</v>
      </c>
      <c r="G147" s="27">
        <v>135</v>
      </c>
      <c r="H147" s="27">
        <v>166</v>
      </c>
      <c r="I147" s="27">
        <v>196</v>
      </c>
      <c r="J147" s="27">
        <v>227</v>
      </c>
      <c r="K147" s="27">
        <v>258</v>
      </c>
      <c r="L147" s="27">
        <v>270</v>
      </c>
      <c r="M147" s="27">
        <v>319</v>
      </c>
      <c r="N147" s="29">
        <v>349</v>
      </c>
    </row>
    <row r="148" spans="2:14">
      <c r="B148" s="454" t="s">
        <v>129</v>
      </c>
      <c r="C148" s="7">
        <f>(360*C128)/365</f>
        <v>1.7214206321039961E-2</v>
      </c>
      <c r="D148" s="7">
        <f t="shared" ref="D148:N148" si="61">(360*D128)/365</f>
        <v>1.7214206321039961E-2</v>
      </c>
      <c r="E148" s="7">
        <f t="shared" si="61"/>
        <v>1.7214206321039961E-2</v>
      </c>
      <c r="F148" s="7">
        <f t="shared" si="61"/>
        <v>1.7214206321039961E-2</v>
      </c>
      <c r="G148" s="7">
        <f t="shared" si="61"/>
        <v>1.7214206321039961E-2</v>
      </c>
      <c r="H148" s="7">
        <f t="shared" si="61"/>
        <v>1.7214206321039961E-2</v>
      </c>
      <c r="I148" s="7">
        <f t="shared" si="61"/>
        <v>1.7214206321039961E-2</v>
      </c>
      <c r="J148" s="7">
        <f t="shared" si="61"/>
        <v>1.7214206321039961E-2</v>
      </c>
      <c r="K148" s="7">
        <f t="shared" si="61"/>
        <v>1.7214206321039961E-2</v>
      </c>
      <c r="L148" s="7">
        <f t="shared" si="61"/>
        <v>1.7214206321039961E-2</v>
      </c>
      <c r="M148" s="7">
        <f t="shared" si="61"/>
        <v>1.7214206321039961E-2</v>
      </c>
      <c r="N148" s="544">
        <f t="shared" si="61"/>
        <v>1.7214206321039961E-2</v>
      </c>
    </row>
    <row r="149" spans="2:14">
      <c r="B149" s="454" t="s">
        <v>130</v>
      </c>
      <c r="C149" s="7">
        <f t="shared" ref="C149:N149" si="62">C143*SIN(C148*(284+C147))</f>
        <v>-0.37122234990040354</v>
      </c>
      <c r="D149" s="7">
        <f t="shared" si="62"/>
        <v>-0.23193953024048489</v>
      </c>
      <c r="E149" s="7">
        <f t="shared" si="62"/>
        <v>-4.9198713707110125E-2</v>
      </c>
      <c r="F149" s="7">
        <f t="shared" si="62"/>
        <v>0.16432088762716554</v>
      </c>
      <c r="G149" s="7">
        <f t="shared" si="62"/>
        <v>0.32798083344699769</v>
      </c>
      <c r="H149" s="7">
        <f t="shared" si="62"/>
        <v>0.40691321620538912</v>
      </c>
      <c r="I149" s="7">
        <f t="shared" si="62"/>
        <v>0.37554836000057829</v>
      </c>
      <c r="J149" s="7">
        <f t="shared" si="62"/>
        <v>0.24056857736111795</v>
      </c>
      <c r="K149" s="7">
        <f t="shared" si="62"/>
        <v>3.8691973511018649E-2</v>
      </c>
      <c r="L149" s="7">
        <f t="shared" si="62"/>
        <v>-4.5699766008172903E-2</v>
      </c>
      <c r="M149" s="7">
        <f t="shared" si="62"/>
        <v>-0.33419245656714902</v>
      </c>
      <c r="N149" s="544">
        <f t="shared" si="62"/>
        <v>-0.40727641274141724</v>
      </c>
    </row>
    <row r="150" spans="2:14">
      <c r="B150" s="28" t="s">
        <v>132</v>
      </c>
      <c r="C150" s="7">
        <f t="shared" ref="C150:N150" si="63">SIN(C149)</f>
        <v>-0.36275479176733588</v>
      </c>
      <c r="D150" s="7">
        <f t="shared" si="63"/>
        <v>-0.22986554896822295</v>
      </c>
      <c r="E150" s="7">
        <f t="shared" si="63"/>
        <v>-4.9178868417837161E-2</v>
      </c>
      <c r="F150" s="7">
        <f t="shared" si="63"/>
        <v>0.16358240425600395</v>
      </c>
      <c r="G150" s="7">
        <f t="shared" si="63"/>
        <v>0.32213215206816698</v>
      </c>
      <c r="H150" s="7">
        <f t="shared" si="63"/>
        <v>0.39577647976650848</v>
      </c>
      <c r="I150" s="7">
        <f t="shared" si="63"/>
        <v>0.36678272715173194</v>
      </c>
      <c r="J150" s="7">
        <f t="shared" si="63"/>
        <v>0.23825486875759558</v>
      </c>
      <c r="K150" s="7">
        <f t="shared" si="63"/>
        <v>3.868232014248444E-2</v>
      </c>
      <c r="L150" s="7">
        <f t="shared" si="63"/>
        <v>-4.5683860581339865E-2</v>
      </c>
      <c r="M150" s="7">
        <f t="shared" si="63"/>
        <v>-0.32800641041381234</v>
      </c>
      <c r="N150" s="544">
        <f t="shared" si="63"/>
        <v>-0.3961099940583282</v>
      </c>
    </row>
    <row r="151" spans="2:14">
      <c r="B151" s="28" t="s">
        <v>133</v>
      </c>
      <c r="C151" s="7">
        <f>COS(C149)</f>
        <v>0.93188462861549382</v>
      </c>
      <c r="D151" s="7">
        <f t="shared" ref="D151:N151" si="64">COS(D149)</f>
        <v>0.97322239462393045</v>
      </c>
      <c r="E151" s="7">
        <f t="shared" si="64"/>
        <v>0.99878998738530667</v>
      </c>
      <c r="F151" s="7">
        <f t="shared" si="64"/>
        <v>0.9865296736631014</v>
      </c>
      <c r="G151" s="7">
        <f t="shared" si="64"/>
        <v>0.94669471140591643</v>
      </c>
      <c r="H151" s="7">
        <f t="shared" si="64"/>
        <v>0.91834687240912982</v>
      </c>
      <c r="I151" s="7">
        <f t="shared" si="64"/>
        <v>0.93030663281691062</v>
      </c>
      <c r="J151" s="7">
        <f t="shared" si="64"/>
        <v>0.97120266552007617</v>
      </c>
      <c r="K151" s="7">
        <f t="shared" si="64"/>
        <v>0.99925155897221118</v>
      </c>
      <c r="L151" s="7">
        <f t="shared" si="64"/>
        <v>0.99895594741829563</v>
      </c>
      <c r="M151" s="7">
        <f t="shared" si="64"/>
        <v>0.94467549705041343</v>
      </c>
      <c r="N151" s="544">
        <f t="shared" si="64"/>
        <v>0.91820306719543865</v>
      </c>
    </row>
    <row r="152" spans="2:14">
      <c r="B152" s="454" t="s">
        <v>134</v>
      </c>
      <c r="C152" s="7">
        <f>-C137*TAN(C149)</f>
        <v>0.30282030972773238</v>
      </c>
      <c r="D152" s="7">
        <f t="shared" ref="D152:N152" si="65">-D137*TAN(D149)</f>
        <v>0.18373664505147702</v>
      </c>
      <c r="E152" s="7">
        <f t="shared" si="65"/>
        <v>3.8303489548417051E-2</v>
      </c>
      <c r="F152" s="7">
        <f t="shared" si="65"/>
        <v>-0.12899130117377336</v>
      </c>
      <c r="G152" s="7">
        <f t="shared" si="65"/>
        <v>-0.26470254235837481</v>
      </c>
      <c r="H152" s="7">
        <f t="shared" si="65"/>
        <v>-0.33525650992542388</v>
      </c>
      <c r="I152" s="7">
        <f t="shared" si="65"/>
        <v>-0.30670209849098234</v>
      </c>
      <c r="J152" s="7">
        <f t="shared" si="65"/>
        <v>-0.19083846211268832</v>
      </c>
      <c r="K152" s="7">
        <f t="shared" si="65"/>
        <v>-3.0114223545887216E-2</v>
      </c>
      <c r="L152" s="7">
        <f t="shared" si="65"/>
        <v>3.557545392368601E-2</v>
      </c>
      <c r="M152" s="7">
        <f t="shared" si="65"/>
        <v>0.27010565090794747</v>
      </c>
      <c r="N152" s="544">
        <f t="shared" si="65"/>
        <v>0.33559157579137944</v>
      </c>
    </row>
    <row r="153" spans="2:14">
      <c r="B153" s="454" t="s">
        <v>134</v>
      </c>
      <c r="C153" s="7">
        <f t="shared" ref="C153:N153" si="66">ATAN(SQRT(1-C152^2)/C152)/C128</f>
        <v>72.372923526477962</v>
      </c>
      <c r="D153" s="7">
        <f t="shared" si="66"/>
        <v>79.412515035884255</v>
      </c>
      <c r="E153" s="7">
        <f t="shared" si="66"/>
        <v>87.804834709481483</v>
      </c>
      <c r="F153" s="7">
        <f t="shared" si="66"/>
        <v>-82.588692631592835</v>
      </c>
      <c r="G153" s="7">
        <f t="shared" si="66"/>
        <v>-74.650721429230288</v>
      </c>
      <c r="H153" s="7">
        <f t="shared" si="66"/>
        <v>-70.411863069271121</v>
      </c>
      <c r="I153" s="7">
        <f t="shared" si="66"/>
        <v>-72.13940442708008</v>
      </c>
      <c r="J153" s="7">
        <f t="shared" si="66"/>
        <v>-78.998280075601585</v>
      </c>
      <c r="K153" s="7">
        <f t="shared" si="66"/>
        <v>-88.274321193752712</v>
      </c>
      <c r="L153" s="7">
        <f t="shared" si="66"/>
        <v>87.961246436124298</v>
      </c>
      <c r="M153" s="7">
        <f t="shared" si="66"/>
        <v>74.329446209462077</v>
      </c>
      <c r="N153" s="544">
        <f t="shared" si="66"/>
        <v>70.39148463022461</v>
      </c>
    </row>
    <row r="154" spans="2:14">
      <c r="B154" s="454" t="s">
        <v>134</v>
      </c>
      <c r="C154" s="7">
        <f t="shared" ref="C154:N154" si="67">IF(C153&lt;0,C153+180,C153)</f>
        <v>72.372923526477962</v>
      </c>
      <c r="D154" s="7">
        <f t="shared" si="67"/>
        <v>79.412515035884255</v>
      </c>
      <c r="E154" s="7">
        <f t="shared" si="67"/>
        <v>87.804834709481483</v>
      </c>
      <c r="F154" s="7">
        <f t="shared" si="67"/>
        <v>97.411307368407165</v>
      </c>
      <c r="G154" s="7">
        <f t="shared" si="67"/>
        <v>105.34927857076971</v>
      </c>
      <c r="H154" s="7">
        <f t="shared" si="67"/>
        <v>109.58813693072888</v>
      </c>
      <c r="I154" s="7">
        <f t="shared" si="67"/>
        <v>107.86059557291992</v>
      </c>
      <c r="J154" s="7">
        <f t="shared" si="67"/>
        <v>101.00171992439842</v>
      </c>
      <c r="K154" s="7">
        <f t="shared" si="67"/>
        <v>91.725678806247288</v>
      </c>
      <c r="L154" s="7">
        <f t="shared" si="67"/>
        <v>87.961246436124298</v>
      </c>
      <c r="M154" s="7">
        <f t="shared" si="67"/>
        <v>74.329446209462077</v>
      </c>
      <c r="N154" s="544">
        <f t="shared" si="67"/>
        <v>70.39148463022461</v>
      </c>
    </row>
    <row r="155" spans="2:14">
      <c r="B155" s="454" t="s">
        <v>142</v>
      </c>
      <c r="C155" s="7">
        <f t="shared" ref="C155:N155" si="68">C154*C128</f>
        <v>1.2631458048311059</v>
      </c>
      <c r="D155" s="7">
        <f t="shared" si="68"/>
        <v>1.3860098546656832</v>
      </c>
      <c r="E155" s="7">
        <f t="shared" si="68"/>
        <v>1.5324834648498507</v>
      </c>
      <c r="F155" s="7">
        <f t="shared" si="68"/>
        <v>1.7001480422509181</v>
      </c>
      <c r="G155" s="7">
        <f t="shared" si="68"/>
        <v>1.8386917756606376</v>
      </c>
      <c r="H155" s="7">
        <f t="shared" si="68"/>
        <v>1.912673810567612</v>
      </c>
      <c r="I155" s="7">
        <f t="shared" si="68"/>
        <v>1.8825225259094722</v>
      </c>
      <c r="J155" s="7">
        <f t="shared" si="68"/>
        <v>1.7628125628579105</v>
      </c>
      <c r="K155" s="7">
        <f t="shared" si="68"/>
        <v>1.6009151037957972</v>
      </c>
      <c r="L155" s="7">
        <f t="shared" si="68"/>
        <v>1.5352133644684971</v>
      </c>
      <c r="M155" s="7">
        <f t="shared" si="68"/>
        <v>1.2972935675391319</v>
      </c>
      <c r="N155" s="544">
        <f t="shared" si="68"/>
        <v>1.2285631721644026</v>
      </c>
    </row>
    <row r="156" spans="2:14">
      <c r="B156" s="28" t="s">
        <v>135</v>
      </c>
      <c r="C156" s="7">
        <f>-C141*TAN(C149)</f>
        <v>5.5004899928242153E-2</v>
      </c>
      <c r="D156" s="7">
        <f t="shared" ref="D156:N156" si="69">-D141*TAN(D149)</f>
        <v>3.3374299706958835E-2</v>
      </c>
      <c r="E156" s="7">
        <f t="shared" si="69"/>
        <v>6.957524121837989E-3</v>
      </c>
      <c r="F156" s="7">
        <f t="shared" si="69"/>
        <v>-2.3430243562779677E-2</v>
      </c>
      <c r="G156" s="7">
        <f t="shared" si="69"/>
        <v>-4.8081110762566152E-2</v>
      </c>
      <c r="H156" s="7">
        <f t="shared" si="69"/>
        <v>-6.0896677621523655E-2</v>
      </c>
      <c r="I156" s="7">
        <f t="shared" si="69"/>
        <v>-5.5709995972351989E-2</v>
      </c>
      <c r="J156" s="7">
        <f t="shared" si="69"/>
        <v>-3.4664288271833606E-2</v>
      </c>
      <c r="K156" s="7">
        <f t="shared" si="69"/>
        <v>-5.4700091088591331E-3</v>
      </c>
      <c r="L156" s="7">
        <f t="shared" si="69"/>
        <v>6.4619981557166081E-3</v>
      </c>
      <c r="M156" s="7">
        <f t="shared" si="69"/>
        <v>4.9062542441761919E-2</v>
      </c>
      <c r="N156" s="544">
        <f t="shared" si="69"/>
        <v>6.0957539670184885E-2</v>
      </c>
    </row>
    <row r="157" spans="2:14">
      <c r="B157" s="28" t="s">
        <v>135</v>
      </c>
      <c r="C157" s="7">
        <f t="shared" ref="C157:N157" si="70">ATAN(SQRT(1-C156^2)/C156)/C128</f>
        <v>86.846860025114438</v>
      </c>
      <c r="D157" s="7">
        <f t="shared" si="70"/>
        <v>88.087438321285589</v>
      </c>
      <c r="E157" s="7">
        <f t="shared" si="70"/>
        <v>89.601360015743722</v>
      </c>
      <c r="F157" s="7">
        <f t="shared" si="70"/>
        <v>-88.657423071287951</v>
      </c>
      <c r="G157" s="7">
        <f t="shared" si="70"/>
        <v>-87.244092734705717</v>
      </c>
      <c r="H157" s="7">
        <f t="shared" si="70"/>
        <v>-86.508717265710118</v>
      </c>
      <c r="I157" s="7">
        <f t="shared" si="70"/>
        <v>-86.80639895381492</v>
      </c>
      <c r="J157" s="7">
        <f t="shared" si="70"/>
        <v>-88.013484609588602</v>
      </c>
      <c r="K157" s="7">
        <f t="shared" si="70"/>
        <v>-89.6865900012276</v>
      </c>
      <c r="L157" s="7">
        <f t="shared" si="70"/>
        <v>89.629752201660153</v>
      </c>
      <c r="M157" s="7">
        <f t="shared" si="70"/>
        <v>87.187794389957531</v>
      </c>
      <c r="N157" s="544">
        <f t="shared" si="70"/>
        <v>86.505223636787974</v>
      </c>
    </row>
    <row r="158" spans="2:14">
      <c r="B158" s="28" t="s">
        <v>135</v>
      </c>
      <c r="C158" s="7">
        <f t="shared" ref="C158:N158" si="71">IF(C157&lt;0,C157+180,C157)</f>
        <v>86.846860025114438</v>
      </c>
      <c r="D158" s="7">
        <f t="shared" si="71"/>
        <v>88.087438321285589</v>
      </c>
      <c r="E158" s="7">
        <f t="shared" si="71"/>
        <v>89.601360015743722</v>
      </c>
      <c r="F158" s="7">
        <f t="shared" si="71"/>
        <v>91.342576928712049</v>
      </c>
      <c r="G158" s="7">
        <f t="shared" si="71"/>
        <v>92.755907265294283</v>
      </c>
      <c r="H158" s="7">
        <f t="shared" si="71"/>
        <v>93.491282734289882</v>
      </c>
      <c r="I158" s="7">
        <f t="shared" si="71"/>
        <v>93.19360104618508</v>
      </c>
      <c r="J158" s="7">
        <f t="shared" si="71"/>
        <v>91.986515390411398</v>
      </c>
      <c r="K158" s="7">
        <f t="shared" si="71"/>
        <v>90.3134099987724</v>
      </c>
      <c r="L158" s="7">
        <f t="shared" si="71"/>
        <v>89.629752201660153</v>
      </c>
      <c r="M158" s="7">
        <f t="shared" si="71"/>
        <v>87.187794389957531</v>
      </c>
      <c r="N158" s="544">
        <f t="shared" si="71"/>
        <v>86.505223636787974</v>
      </c>
    </row>
    <row r="159" spans="2:14">
      <c r="B159" s="28" t="s">
        <v>136</v>
      </c>
      <c r="C159" s="7">
        <f t="shared" ref="C159:N159" si="72">C158*C128</f>
        <v>1.5157636524568923</v>
      </c>
      <c r="D159" s="7">
        <f t="shared" si="72"/>
        <v>1.5374158283538601</v>
      </c>
      <c r="E159" s="7">
        <f t="shared" si="72"/>
        <v>1.5638387465395263</v>
      </c>
      <c r="F159" s="7">
        <f t="shared" si="72"/>
        <v>1.5942287146622351</v>
      </c>
      <c r="G159" s="7">
        <f t="shared" si="72"/>
        <v>1.6188959824539146</v>
      </c>
      <c r="H159" s="7">
        <f t="shared" si="72"/>
        <v>1.6317307056262853</v>
      </c>
      <c r="I159" s="7">
        <f t="shared" si="72"/>
        <v>1.6265351800459618</v>
      </c>
      <c r="J159" s="7">
        <f t="shared" si="72"/>
        <v>1.605467560999116</v>
      </c>
      <c r="K159" s="7">
        <f t="shared" si="72"/>
        <v>1.5762663631821463</v>
      </c>
      <c r="L159" s="7">
        <f t="shared" si="72"/>
        <v>1.5643342836656062</v>
      </c>
      <c r="M159" s="7">
        <f t="shared" si="72"/>
        <v>1.5217140796565998</v>
      </c>
      <c r="N159" s="544">
        <f t="shared" si="72"/>
        <v>1.5098009726359736</v>
      </c>
    </row>
    <row r="160" spans="2:14">
      <c r="B160" s="454" t="s">
        <v>137</v>
      </c>
      <c r="C160" s="7">
        <f>C155*C135*C150+C136*C151*SIN(C155)</f>
        <v>0.41965327661589297</v>
      </c>
      <c r="D160" s="7">
        <f t="shared" ref="D160:N160" si="73">D155*D135*D150+D136*D151*SIN(D155)</f>
        <v>0.55946436520158616</v>
      </c>
      <c r="E160" s="7">
        <f t="shared" si="73"/>
        <v>0.74148954205508899</v>
      </c>
      <c r="F160" s="7">
        <f t="shared" si="73"/>
        <v>0.94292604837324412</v>
      </c>
      <c r="G160" s="7">
        <f t="shared" si="73"/>
        <v>1.0842502843581097</v>
      </c>
      <c r="H160" s="7">
        <f t="shared" si="73"/>
        <v>1.1477004834155249</v>
      </c>
      <c r="I160" s="7">
        <f t="shared" si="73"/>
        <v>1.12286035255836</v>
      </c>
      <c r="J160" s="7">
        <f t="shared" si="73"/>
        <v>1.0103636219249039</v>
      </c>
      <c r="K160" s="7">
        <f t="shared" si="73"/>
        <v>0.82637385982653222</v>
      </c>
      <c r="L160" s="7">
        <f t="shared" si="73"/>
        <v>0.74491203564158803</v>
      </c>
      <c r="M160" s="7">
        <f t="shared" si="73"/>
        <v>0.45664254227725803</v>
      </c>
      <c r="N160" s="544">
        <f t="shared" si="73"/>
        <v>0.38390159749318331</v>
      </c>
    </row>
    <row r="161" spans="2:15">
      <c r="B161" s="454" t="s">
        <v>137</v>
      </c>
      <c r="C161" s="7">
        <f t="shared" ref="C161:N161" si="74">C146*(1+0.033*COS(C148*C147))*C160</f>
        <v>16113.593859111455</v>
      </c>
      <c r="D161" s="7">
        <f t="shared" si="74"/>
        <v>21300.391428925424</v>
      </c>
      <c r="E161" s="7">
        <f t="shared" si="74"/>
        <v>27857.365715986991</v>
      </c>
      <c r="F161" s="7">
        <f t="shared" si="74"/>
        <v>34814.933101809205</v>
      </c>
      <c r="G161" s="7">
        <f t="shared" si="74"/>
        <v>39434.575352811044</v>
      </c>
      <c r="H161" s="7">
        <f t="shared" si="74"/>
        <v>41353.295919669195</v>
      </c>
      <c r="I161" s="7">
        <f t="shared" si="74"/>
        <v>40440.089973169517</v>
      </c>
      <c r="J161" s="7">
        <f t="shared" si="74"/>
        <v>36701.699200869007</v>
      </c>
      <c r="K161" s="7">
        <f t="shared" si="74"/>
        <v>30477.75241366648</v>
      </c>
      <c r="L161" s="7">
        <f t="shared" si="74"/>
        <v>27659.29812180937</v>
      </c>
      <c r="M161" s="7">
        <f t="shared" si="74"/>
        <v>17385.67368826165</v>
      </c>
      <c r="N161" s="544">
        <f t="shared" si="74"/>
        <v>14738.682819286218</v>
      </c>
    </row>
    <row r="162" spans="2:15">
      <c r="B162" s="454" t="s">
        <v>143</v>
      </c>
      <c r="C162" s="7">
        <f>VLOOKUP('Intensidad y Ángulo incli.'!$P$20,$A$3:$O$71,3,FALSE)*86.01</f>
        <v>6708.7800000000007</v>
      </c>
      <c r="D162" s="7">
        <f>VLOOKUP('Intensidad y Ángulo incli.'!$P$20,$A$3:$O$71,4,FALSE)*86.01</f>
        <v>7826.9100000000008</v>
      </c>
      <c r="E162" s="7">
        <f>VLOOKUP('Intensidad y Ángulo incli.'!$P$20,$A$3:$O$71,5,FALSE)*86.01</f>
        <v>12557.460000000001</v>
      </c>
      <c r="F162" s="7">
        <f>VLOOKUP('Intensidad y Ángulo incli.'!$P$20,$A$3:$O$71,6,FALSE)*86.01</f>
        <v>13847.61</v>
      </c>
      <c r="G162" s="7">
        <f>VLOOKUP('Intensidad y Ángulo incli.'!$P$20,$A$3:$O$71,7,FALSE)*86.01</f>
        <v>17632.05</v>
      </c>
      <c r="H162" s="7">
        <f>VLOOKUP('Intensidad y Ángulo incli.'!$P$20,$A$3:$O$71,8,FALSE)*86.01</f>
        <v>18578.16</v>
      </c>
      <c r="I162" s="7">
        <f>VLOOKUP('Intensidad y Ángulo incli.'!$P$20,$A$3:$O$71,9,FALSE)*86.01</f>
        <v>20212.350000000002</v>
      </c>
      <c r="J162" s="7">
        <f>VLOOKUP('Intensidad y Ángulo incli.'!$P$20,$A$3:$O$71,10,FALSE)*86.01</f>
        <v>17374.02</v>
      </c>
      <c r="K162" s="7">
        <f>VLOOKUP('Intensidad y Ángulo incli.'!$P$20,$A$3:$O$71,11,FALSE)*86.01</f>
        <v>13847.61</v>
      </c>
      <c r="L162" s="7">
        <f>VLOOKUP('Intensidad y Ángulo incli.'!$P$20,$A$3:$O$71,12,FALSE)*86.01</f>
        <v>10321.200000000001</v>
      </c>
      <c r="M162" s="7">
        <f>VLOOKUP('Intensidad y Ángulo incli.'!$P$20,$A$3:$O$71,13,FALSE)*86.01</f>
        <v>6450.75</v>
      </c>
      <c r="N162" s="544">
        <f>VLOOKUP('Intensidad y Ángulo incli.'!$P$20,$A$3:$O$71,14,FALSE)*86.01</f>
        <v>5762.67</v>
      </c>
    </row>
    <row r="163" spans="2:15">
      <c r="B163" s="454" t="s">
        <v>138</v>
      </c>
      <c r="C163" s="7">
        <f t="shared" ref="C163:N163" si="75">C162/C161</f>
        <v>0.41634287537950521</v>
      </c>
      <c r="D163" s="7">
        <f t="shared" si="75"/>
        <v>0.3674538107018655</v>
      </c>
      <c r="E163" s="7">
        <f t="shared" si="75"/>
        <v>0.45077700914101265</v>
      </c>
      <c r="F163" s="7">
        <f t="shared" si="75"/>
        <v>0.39774914860544114</v>
      </c>
      <c r="G163" s="7">
        <f t="shared" si="75"/>
        <v>0.4471215891701778</v>
      </c>
      <c r="H163" s="7">
        <f t="shared" si="75"/>
        <v>0.44925463827814321</v>
      </c>
      <c r="I163" s="7">
        <f t="shared" si="75"/>
        <v>0.49980971885597036</v>
      </c>
      <c r="J163" s="7">
        <f t="shared" si="75"/>
        <v>0.47338462191932046</v>
      </c>
      <c r="K163" s="7">
        <f t="shared" si="75"/>
        <v>0.45435141712715721</v>
      </c>
      <c r="L163" s="7">
        <f t="shared" si="75"/>
        <v>0.3731548051055471</v>
      </c>
      <c r="M163" s="7">
        <f t="shared" si="75"/>
        <v>0.3710382534302008</v>
      </c>
      <c r="N163" s="544">
        <f t="shared" si="75"/>
        <v>0.39098948465457795</v>
      </c>
    </row>
    <row r="164" spans="2:15">
      <c r="B164" s="454" t="s">
        <v>139</v>
      </c>
      <c r="C164" s="7">
        <f t="shared" ref="C164:N164" si="76">C163</f>
        <v>0.41634287537950521</v>
      </c>
      <c r="D164" s="7">
        <f t="shared" si="76"/>
        <v>0.3674538107018655</v>
      </c>
      <c r="E164" s="7">
        <f t="shared" si="76"/>
        <v>0.45077700914101265</v>
      </c>
      <c r="F164" s="7">
        <f t="shared" si="76"/>
        <v>0.39774914860544114</v>
      </c>
      <c r="G164" s="7">
        <f t="shared" si="76"/>
        <v>0.4471215891701778</v>
      </c>
      <c r="H164" s="7">
        <f t="shared" si="76"/>
        <v>0.44925463827814321</v>
      </c>
      <c r="I164" s="7">
        <f t="shared" si="76"/>
        <v>0.49980971885597036</v>
      </c>
      <c r="J164" s="7">
        <f t="shared" si="76"/>
        <v>0.47338462191932046</v>
      </c>
      <c r="K164" s="7">
        <f t="shared" si="76"/>
        <v>0.45435141712715721</v>
      </c>
      <c r="L164" s="7">
        <f t="shared" si="76"/>
        <v>0.3731548051055471</v>
      </c>
      <c r="M164" s="7">
        <f t="shared" si="76"/>
        <v>0.3710382534302008</v>
      </c>
      <c r="N164" s="544">
        <f t="shared" si="76"/>
        <v>0.39098948465457795</v>
      </c>
    </row>
    <row r="165" spans="2:15">
      <c r="B165" s="454" t="s">
        <v>140</v>
      </c>
      <c r="C165" s="7">
        <f>1.39-4.03*C163+5.53*C163^2-3.11*C163^3</f>
        <v>0.44626910040382178</v>
      </c>
      <c r="D165" s="7">
        <f t="shared" ref="D165:N165" si="77">1.39-4.03*D163+5.53*D163^2-3.11*D163^3</f>
        <v>0.50153350858285328</v>
      </c>
      <c r="E165" s="7">
        <f t="shared" si="77"/>
        <v>0.41219485728632826</v>
      </c>
      <c r="F165" s="7">
        <f t="shared" si="77"/>
        <v>0.46624238024235098</v>
      </c>
      <c r="G165" s="7">
        <f t="shared" si="77"/>
        <v>0.4156497544624983</v>
      </c>
      <c r="H165" s="7">
        <f t="shared" si="77"/>
        <v>0.41362936400598216</v>
      </c>
      <c r="I165" s="7">
        <f t="shared" si="77"/>
        <v>0.36890844039281112</v>
      </c>
      <c r="J165" s="7">
        <f t="shared" si="77"/>
        <v>0.39157868471143858</v>
      </c>
      <c r="K165" s="7">
        <f t="shared" si="77"/>
        <v>0.40885075633983514</v>
      </c>
      <c r="L165" s="7">
        <f t="shared" si="77"/>
        <v>0.49461342213873327</v>
      </c>
      <c r="M165" s="7">
        <f t="shared" si="77"/>
        <v>0.49716684857030835</v>
      </c>
      <c r="N165" s="544">
        <f t="shared" si="77"/>
        <v>0.47380900792504843</v>
      </c>
    </row>
    <row r="166" spans="2:15">
      <c r="B166" s="454" t="s">
        <v>131</v>
      </c>
      <c r="C166" s="7">
        <f>C136*C151*SIN(C155)+C155*C135*C150</f>
        <v>0.41965327661589297</v>
      </c>
      <c r="D166" s="7">
        <f t="shared" ref="D166:N166" si="78">D136*D151*SIN(D155)+D155*D135*D150</f>
        <v>0.55946436520158616</v>
      </c>
      <c r="E166" s="7">
        <f t="shared" si="78"/>
        <v>0.74148954205508899</v>
      </c>
      <c r="F166" s="7">
        <f t="shared" si="78"/>
        <v>0.94292604837324412</v>
      </c>
      <c r="G166" s="7">
        <f t="shared" si="78"/>
        <v>1.0842502843581097</v>
      </c>
      <c r="H166" s="7">
        <f t="shared" si="78"/>
        <v>1.1477004834155249</v>
      </c>
      <c r="I166" s="7">
        <f t="shared" si="78"/>
        <v>1.12286035255836</v>
      </c>
      <c r="J166" s="7">
        <f t="shared" si="78"/>
        <v>1.0103636219249039</v>
      </c>
      <c r="K166" s="7">
        <f t="shared" si="78"/>
        <v>0.82637385982653222</v>
      </c>
      <c r="L166" s="7">
        <f t="shared" si="78"/>
        <v>0.74491203564158803</v>
      </c>
      <c r="M166" s="7">
        <f t="shared" si="78"/>
        <v>0.45664254227725803</v>
      </c>
      <c r="N166" s="544">
        <f t="shared" si="78"/>
        <v>0.38390159749318331</v>
      </c>
    </row>
    <row r="167" spans="2:15">
      <c r="B167" s="454" t="s">
        <v>131</v>
      </c>
      <c r="C167" s="7">
        <f t="shared" ref="C167:N167" si="79">(C140*C151*SIN(IF(C158&gt;C154,C155,C159))+IF(C158&gt;C154,C155,C159)*C139*C150)/C166</f>
        <v>1.9427583880689359</v>
      </c>
      <c r="D167" s="7">
        <f t="shared" si="79"/>
        <v>1.6134509688387468</v>
      </c>
      <c r="E167" s="7">
        <f t="shared" si="79"/>
        <v>1.3185557899968976</v>
      </c>
      <c r="F167" s="7">
        <f t="shared" si="79"/>
        <v>1.074363554458488</v>
      </c>
      <c r="G167" s="7">
        <f t="shared" si="79"/>
        <v>0.93083952627327005</v>
      </c>
      <c r="H167" s="7">
        <f t="shared" si="79"/>
        <v>0.86954917534609577</v>
      </c>
      <c r="I167" s="7">
        <f t="shared" si="79"/>
        <v>0.89342836713360152</v>
      </c>
      <c r="J167" s="7">
        <f t="shared" si="79"/>
        <v>1.0041829469071306</v>
      </c>
      <c r="K167" s="7">
        <f t="shared" si="79"/>
        <v>1.207611940835039</v>
      </c>
      <c r="L167" s="7">
        <f t="shared" si="79"/>
        <v>1.3138346059402677</v>
      </c>
      <c r="M167" s="7">
        <f t="shared" si="79"/>
        <v>1.8418786996450609</v>
      </c>
      <c r="N167" s="544">
        <f t="shared" si="79"/>
        <v>2.0535428913137452</v>
      </c>
    </row>
    <row r="168" spans="2:15">
      <c r="B168" s="454" t="s">
        <v>141</v>
      </c>
      <c r="C168" s="7">
        <f t="shared" ref="C168:N168" si="80">((1-C165)*C167+C165*(1+C132)/2+0.2*(1-C132)/2)</f>
        <v>1.5057120549880383</v>
      </c>
      <c r="D168" s="7">
        <f t="shared" si="80"/>
        <v>1.2857995037329057</v>
      </c>
      <c r="E168" s="7">
        <f t="shared" si="80"/>
        <v>1.1731847327322829</v>
      </c>
      <c r="F168" s="7">
        <f t="shared" si="80"/>
        <v>1.0220459155022239</v>
      </c>
      <c r="G168" s="7">
        <f t="shared" si="80"/>
        <v>0.9452930752405293</v>
      </c>
      <c r="H168" s="7">
        <f t="shared" si="80"/>
        <v>0.90934839087494557</v>
      </c>
      <c r="I168" s="7">
        <f t="shared" si="80"/>
        <v>0.92154851048933617</v>
      </c>
      <c r="J168" s="7">
        <f t="shared" si="80"/>
        <v>0.98984740826648654</v>
      </c>
      <c r="K168" s="7">
        <f t="shared" si="80"/>
        <v>1.108887285587149</v>
      </c>
      <c r="L168" s="7">
        <f t="shared" si="80"/>
        <v>1.1390812034697526</v>
      </c>
      <c r="M168" s="7">
        <f t="shared" si="80"/>
        <v>1.4036286878438242</v>
      </c>
      <c r="N168" s="544">
        <f t="shared" si="80"/>
        <v>1.5362170746203661</v>
      </c>
    </row>
    <row r="169" spans="2:15">
      <c r="B169" s="453"/>
      <c r="N169" s="544"/>
    </row>
    <row r="170" spans="2:15">
      <c r="B170" s="30" t="s">
        <v>144</v>
      </c>
      <c r="C170" s="7">
        <f>C150*C135*C132</f>
        <v>-0.19320980085440767</v>
      </c>
      <c r="D170" s="7">
        <f t="shared" ref="D170:N170" si="81">D150*D135*D132</f>
        <v>-0.12243057279288719</v>
      </c>
      <c r="E170" s="7">
        <f t="shared" si="81"/>
        <v>-2.6193559916776341E-2</v>
      </c>
      <c r="F170" s="7">
        <f t="shared" si="81"/>
        <v>8.7126964183174879E-2</v>
      </c>
      <c r="G170" s="7">
        <f t="shared" si="81"/>
        <v>0.17157344399687846</v>
      </c>
      <c r="H170" s="7">
        <f t="shared" si="81"/>
        <v>0.21079775256998035</v>
      </c>
      <c r="I170" s="7">
        <f t="shared" si="81"/>
        <v>0.19535515251105162</v>
      </c>
      <c r="J170" s="7">
        <f t="shared" si="81"/>
        <v>0.12689887712020329</v>
      </c>
      <c r="K170" s="7">
        <f t="shared" si="81"/>
        <v>2.0602907365891994E-2</v>
      </c>
      <c r="L170" s="7">
        <f t="shared" si="81"/>
        <v>-2.4332055166461856E-2</v>
      </c>
      <c r="M170" s="7">
        <f t="shared" si="81"/>
        <v>-0.17470218084856814</v>
      </c>
      <c r="N170" s="544">
        <f t="shared" si="81"/>
        <v>-0.21097538834865787</v>
      </c>
    </row>
    <row r="171" spans="2:15">
      <c r="B171" s="30" t="s">
        <v>144</v>
      </c>
      <c r="C171" s="7">
        <f t="shared" ref="C171:N171" si="82">C170-C150*C136*C131</f>
        <v>-5.0754036169928074E-2</v>
      </c>
      <c r="D171" s="7">
        <f t="shared" si="82"/>
        <v>-3.2161131021079106E-2</v>
      </c>
      <c r="E171" s="7">
        <f t="shared" si="82"/>
        <v>-6.8807528477141215E-3</v>
      </c>
      <c r="F171" s="7">
        <f t="shared" si="82"/>
        <v>2.2887271101019846E-2</v>
      </c>
      <c r="G171" s="7">
        <f t="shared" si="82"/>
        <v>4.507040918166777E-2</v>
      </c>
      <c r="H171" s="7">
        <f t="shared" si="82"/>
        <v>5.5374192774715308E-2</v>
      </c>
      <c r="I171" s="7">
        <f t="shared" si="82"/>
        <v>5.1317595860466608E-2</v>
      </c>
      <c r="J171" s="7">
        <f t="shared" si="82"/>
        <v>3.3334904186021919E-2</v>
      </c>
      <c r="K171" s="7">
        <f t="shared" si="82"/>
        <v>5.412151459346138E-3</v>
      </c>
      <c r="L171" s="7">
        <f t="shared" si="82"/>
        <v>-6.391756538985726E-3</v>
      </c>
      <c r="M171" s="7">
        <f t="shared" si="82"/>
        <v>-4.5892293074899976E-2</v>
      </c>
      <c r="N171" s="544">
        <f t="shared" si="82"/>
        <v>-5.5420855690862469E-2</v>
      </c>
    </row>
    <row r="172" spans="2:15">
      <c r="B172" s="30" t="s">
        <v>144</v>
      </c>
      <c r="C172" s="7">
        <f t="shared" ref="C172:N172" si="83">C171+C151*C136*C132*C142</f>
        <v>0.45543275500886354</v>
      </c>
      <c r="D172" s="7">
        <f t="shared" si="83"/>
        <v>0.49647976068451072</v>
      </c>
      <c r="E172" s="7">
        <f t="shared" si="83"/>
        <v>0.53564810024347664</v>
      </c>
      <c r="F172" s="7">
        <f t="shared" si="83"/>
        <v>0.55875649201101607</v>
      </c>
      <c r="G172" s="7">
        <f t="shared" si="83"/>
        <v>0.55930183169632985</v>
      </c>
      <c r="H172" s="7">
        <f t="shared" si="83"/>
        <v>0.55420746275202404</v>
      </c>
      <c r="I172" s="7">
        <f t="shared" si="83"/>
        <v>0.55664724163171442</v>
      </c>
      <c r="J172" s="7">
        <f t="shared" si="83"/>
        <v>0.56087870708604859</v>
      </c>
      <c r="K172" s="7">
        <f t="shared" si="83"/>
        <v>0.54819172382768788</v>
      </c>
      <c r="L172" s="7">
        <f t="shared" si="83"/>
        <v>0.53622724373779329</v>
      </c>
      <c r="M172" s="7">
        <f t="shared" si="83"/>
        <v>0.46724232023835632</v>
      </c>
      <c r="N172" s="544">
        <f t="shared" si="83"/>
        <v>0.44333430129108398</v>
      </c>
    </row>
    <row r="173" spans="2:15">
      <c r="B173" s="30" t="s">
        <v>144</v>
      </c>
      <c r="C173" s="7">
        <f t="shared" ref="C173:N173" si="84">C172+C151*C135*C131*C142</f>
        <v>0.68128773067637705</v>
      </c>
      <c r="D173" s="7">
        <f t="shared" si="84"/>
        <v>0.73235350890099937</v>
      </c>
      <c r="E173" s="7">
        <f t="shared" si="84"/>
        <v>0.77771850399400577</v>
      </c>
      <c r="F173" s="7">
        <f t="shared" si="84"/>
        <v>0.79785544117116447</v>
      </c>
      <c r="G173" s="7">
        <f t="shared" si="84"/>
        <v>0.78874623333520455</v>
      </c>
      <c r="H173" s="7">
        <f t="shared" si="84"/>
        <v>0.77678137818451276</v>
      </c>
      <c r="I173" s="7">
        <f t="shared" si="84"/>
        <v>0.78211976845121767</v>
      </c>
      <c r="J173" s="7">
        <f t="shared" si="84"/>
        <v>0.79626294635089401</v>
      </c>
      <c r="K173" s="7">
        <f t="shared" si="84"/>
        <v>0.79037399576053058</v>
      </c>
      <c r="L173" s="7">
        <f t="shared" si="84"/>
        <v>0.77833787017046729</v>
      </c>
      <c r="M173" s="7">
        <f t="shared" si="84"/>
        <v>0.69619733768188574</v>
      </c>
      <c r="N173" s="544">
        <f t="shared" si="84"/>
        <v>0.66587336356467119</v>
      </c>
    </row>
    <row r="174" spans="2:15">
      <c r="B174" s="30" t="s">
        <v>144</v>
      </c>
      <c r="C174" s="7">
        <f t="shared" ref="C174:N174" si="85">ATAN(SQRT(1-C173^2)/C173)/C128</f>
        <v>47.055647002814545</v>
      </c>
      <c r="D174" s="7">
        <f t="shared" si="85"/>
        <v>42.91593842331315</v>
      </c>
      <c r="E174" s="7">
        <f t="shared" si="85"/>
        <v>38.947844175669317</v>
      </c>
      <c r="F174" s="7">
        <f t="shared" si="85"/>
        <v>37.074202688967432</v>
      </c>
      <c r="G174" s="7">
        <f t="shared" si="85"/>
        <v>37.931501056586654</v>
      </c>
      <c r="H174" s="7">
        <f t="shared" si="85"/>
        <v>39.033181218113434</v>
      </c>
      <c r="I174" s="7">
        <f t="shared" si="85"/>
        <v>38.544928760383051</v>
      </c>
      <c r="J174" s="7">
        <f t="shared" si="85"/>
        <v>37.225292633669525</v>
      </c>
      <c r="K174" s="7">
        <f t="shared" si="85"/>
        <v>37.77952427719508</v>
      </c>
      <c r="L174" s="7">
        <f t="shared" si="85"/>
        <v>38.891356724295314</v>
      </c>
      <c r="M174" s="7">
        <f t="shared" si="85"/>
        <v>45.877293499557211</v>
      </c>
      <c r="N174" s="544">
        <f t="shared" si="85"/>
        <v>48.250637608051797</v>
      </c>
    </row>
    <row r="176" spans="2:15">
      <c r="C176" s="17">
        <f>C162*C168*1.05</f>
        <v>10606.565466275786</v>
      </c>
      <c r="D176" s="17">
        <f t="shared" ref="D176:N176" si="86">D162*D168*1.05</f>
        <v>10567.028843450225</v>
      </c>
      <c r="E176" s="17">
        <f t="shared" si="86"/>
        <v>15468.83137159115</v>
      </c>
      <c r="F176" s="17">
        <f t="shared" si="86"/>
        <v>14860.53790196614</v>
      </c>
      <c r="G176" s="17">
        <f t="shared" si="86"/>
        <v>17500.827505659512</v>
      </c>
      <c r="H176" s="17">
        <f t="shared" si="86"/>
        <v>17738.720896488143</v>
      </c>
      <c r="I176" s="17">
        <f t="shared" si="86"/>
        <v>19557.994087788593</v>
      </c>
      <c r="J176" s="17">
        <f t="shared" si="86"/>
        <v>18057.510101578609</v>
      </c>
      <c r="K176" s="17">
        <f t="shared" si="86"/>
        <v>16123.210598007934</v>
      </c>
      <c r="L176" s="17">
        <f t="shared" si="86"/>
        <v>12344.519163114614</v>
      </c>
      <c r="M176" s="17">
        <f t="shared" si="86"/>
        <v>9507.180646013976</v>
      </c>
      <c r="N176" s="17">
        <f t="shared" si="86"/>
        <v>9295.3476518726729</v>
      </c>
      <c r="O176" s="17">
        <f>SUM(C176:N176)/86.01</f>
        <v>1995.4455788141763</v>
      </c>
    </row>
    <row r="180" spans="2:14" ht="13.5" thickBot="1"/>
    <row r="181" spans="2:14">
      <c r="B181" s="26" t="s">
        <v>110</v>
      </c>
      <c r="C181" s="27">
        <f>PI()/180</f>
        <v>1.7453292519943295E-2</v>
      </c>
      <c r="D181" s="27">
        <f t="shared" ref="D181:N181" si="87">PI()/180</f>
        <v>1.7453292519943295E-2</v>
      </c>
      <c r="E181" s="27">
        <f t="shared" si="87"/>
        <v>1.7453292519943295E-2</v>
      </c>
      <c r="F181" s="27">
        <f t="shared" si="87"/>
        <v>1.7453292519943295E-2</v>
      </c>
      <c r="G181" s="27">
        <f t="shared" si="87"/>
        <v>1.7453292519943295E-2</v>
      </c>
      <c r="H181" s="27">
        <f t="shared" si="87"/>
        <v>1.7453292519943295E-2</v>
      </c>
      <c r="I181" s="27">
        <f t="shared" si="87"/>
        <v>1.7453292519943295E-2</v>
      </c>
      <c r="J181" s="27">
        <f t="shared" si="87"/>
        <v>1.7453292519943295E-2</v>
      </c>
      <c r="K181" s="27">
        <f t="shared" si="87"/>
        <v>1.7453292519943295E-2</v>
      </c>
      <c r="L181" s="27">
        <f t="shared" si="87"/>
        <v>1.7453292519943295E-2</v>
      </c>
      <c r="M181" s="27">
        <f t="shared" si="87"/>
        <v>1.7453292519943295E-2</v>
      </c>
      <c r="N181" s="29">
        <f t="shared" si="87"/>
        <v>1.7453292519943295E-2</v>
      </c>
    </row>
    <row r="182" spans="2:14">
      <c r="B182" s="453" t="s">
        <v>120</v>
      </c>
      <c r="C182" s="7">
        <f>'Intensidad y Ángulo incli.'!$AG$23</f>
        <v>52.88</v>
      </c>
      <c r="D182" s="7">
        <f>'Intensidad y Ángulo incli.'!$AG$23</f>
        <v>52.88</v>
      </c>
      <c r="E182" s="7">
        <f>'Intensidad y Ángulo incli.'!$AG$23</f>
        <v>52.88</v>
      </c>
      <c r="F182" s="7">
        <f>'Intensidad y Ángulo incli.'!$AG$23</f>
        <v>52.88</v>
      </c>
      <c r="G182" s="7">
        <f>'Intensidad y Ángulo incli.'!$AG$23</f>
        <v>52.88</v>
      </c>
      <c r="H182" s="7">
        <f>'Intensidad y Ángulo incli.'!$AG$23</f>
        <v>52.88</v>
      </c>
      <c r="I182" s="7">
        <f>'Intensidad y Ángulo incli.'!$AG$23</f>
        <v>52.88</v>
      </c>
      <c r="J182" s="7">
        <f>'Intensidad y Ángulo incli.'!$AG$23</f>
        <v>52.88</v>
      </c>
      <c r="K182" s="7">
        <f>'Intensidad y Ángulo incli.'!$AG$23</f>
        <v>52.88</v>
      </c>
      <c r="L182" s="7">
        <f>'Intensidad y Ángulo incli.'!$AG$23</f>
        <v>52.88</v>
      </c>
      <c r="M182" s="7">
        <f>'Intensidad y Ángulo incli.'!$AG$23</f>
        <v>52.88</v>
      </c>
      <c r="N182" s="544">
        <f>'Intensidad y Ángulo incli.'!$AG$23</f>
        <v>52.88</v>
      </c>
    </row>
    <row r="183" spans="2:14">
      <c r="B183" s="453" t="s">
        <v>121</v>
      </c>
      <c r="C183" s="7">
        <f t="shared" ref="C183:N183" si="88">C182*C181</f>
        <v>0.92293010845460155</v>
      </c>
      <c r="D183" s="7">
        <f t="shared" si="88"/>
        <v>0.92293010845460155</v>
      </c>
      <c r="E183" s="7">
        <f t="shared" si="88"/>
        <v>0.92293010845460155</v>
      </c>
      <c r="F183" s="7">
        <f t="shared" si="88"/>
        <v>0.92293010845460155</v>
      </c>
      <c r="G183" s="7">
        <f t="shared" si="88"/>
        <v>0.92293010845460155</v>
      </c>
      <c r="H183" s="7">
        <f t="shared" si="88"/>
        <v>0.92293010845460155</v>
      </c>
      <c r="I183" s="7">
        <f t="shared" si="88"/>
        <v>0.92293010845460155</v>
      </c>
      <c r="J183" s="7">
        <f t="shared" si="88"/>
        <v>0.92293010845460155</v>
      </c>
      <c r="K183" s="7">
        <f t="shared" si="88"/>
        <v>0.92293010845460155</v>
      </c>
      <c r="L183" s="7">
        <f t="shared" si="88"/>
        <v>0.92293010845460155</v>
      </c>
      <c r="M183" s="7">
        <f t="shared" si="88"/>
        <v>0.92293010845460155</v>
      </c>
      <c r="N183" s="544">
        <f t="shared" si="88"/>
        <v>0.92293010845460155</v>
      </c>
    </row>
    <row r="184" spans="2:14">
      <c r="B184" s="453" t="s">
        <v>122</v>
      </c>
      <c r="C184" s="7">
        <f t="shared" ref="C184:N184" si="89">SIN(C183)</f>
        <v>0.79737332092870361</v>
      </c>
      <c r="D184" s="7">
        <f t="shared" si="89"/>
        <v>0.79737332092870361</v>
      </c>
      <c r="E184" s="7">
        <f t="shared" si="89"/>
        <v>0.79737332092870361</v>
      </c>
      <c r="F184" s="7">
        <f t="shared" si="89"/>
        <v>0.79737332092870361</v>
      </c>
      <c r="G184" s="7">
        <f t="shared" si="89"/>
        <v>0.79737332092870361</v>
      </c>
      <c r="H184" s="7">
        <f t="shared" si="89"/>
        <v>0.79737332092870361</v>
      </c>
      <c r="I184" s="7">
        <f t="shared" si="89"/>
        <v>0.79737332092870361</v>
      </c>
      <c r="J184" s="7">
        <f t="shared" si="89"/>
        <v>0.79737332092870361</v>
      </c>
      <c r="K184" s="7">
        <f t="shared" si="89"/>
        <v>0.79737332092870361</v>
      </c>
      <c r="L184" s="7">
        <f t="shared" si="89"/>
        <v>0.79737332092870361</v>
      </c>
      <c r="M184" s="7">
        <f t="shared" si="89"/>
        <v>0.79737332092870361</v>
      </c>
      <c r="N184" s="544">
        <f t="shared" si="89"/>
        <v>0.79737332092870361</v>
      </c>
    </row>
    <row r="185" spans="2:14">
      <c r="B185" s="453" t="s">
        <v>123</v>
      </c>
      <c r="C185" s="7">
        <f>COS(C183)</f>
        <v>0.6034863603024766</v>
      </c>
      <c r="D185" s="7">
        <f t="shared" ref="D185:N185" si="90">COS(D183)</f>
        <v>0.6034863603024766</v>
      </c>
      <c r="E185" s="7">
        <f t="shared" si="90"/>
        <v>0.6034863603024766</v>
      </c>
      <c r="F185" s="7">
        <f t="shared" si="90"/>
        <v>0.6034863603024766</v>
      </c>
      <c r="G185" s="7">
        <f t="shared" si="90"/>
        <v>0.6034863603024766</v>
      </c>
      <c r="H185" s="7">
        <f t="shared" si="90"/>
        <v>0.6034863603024766</v>
      </c>
      <c r="I185" s="7">
        <f t="shared" si="90"/>
        <v>0.6034863603024766</v>
      </c>
      <c r="J185" s="7">
        <f t="shared" si="90"/>
        <v>0.6034863603024766</v>
      </c>
      <c r="K185" s="7">
        <f t="shared" si="90"/>
        <v>0.6034863603024766</v>
      </c>
      <c r="L185" s="7">
        <f t="shared" si="90"/>
        <v>0.6034863603024766</v>
      </c>
      <c r="M185" s="7">
        <f t="shared" si="90"/>
        <v>0.6034863603024766</v>
      </c>
      <c r="N185" s="544">
        <f t="shared" si="90"/>
        <v>0.6034863603024766</v>
      </c>
    </row>
    <row r="186" spans="2:14">
      <c r="B186" s="453" t="s">
        <v>124</v>
      </c>
      <c r="C186" s="7">
        <f>'Intensidad y Ángulo incli.'!$S$7</f>
        <v>37.880000000000003</v>
      </c>
      <c r="D186" s="7">
        <f>C186</f>
        <v>37.880000000000003</v>
      </c>
      <c r="E186" s="7">
        <f t="shared" ref="E186:N186" si="91">D186</f>
        <v>37.880000000000003</v>
      </c>
      <c r="F186" s="7">
        <f t="shared" si="91"/>
        <v>37.880000000000003</v>
      </c>
      <c r="G186" s="7">
        <f t="shared" si="91"/>
        <v>37.880000000000003</v>
      </c>
      <c r="H186" s="7">
        <f t="shared" si="91"/>
        <v>37.880000000000003</v>
      </c>
      <c r="I186" s="7">
        <f t="shared" si="91"/>
        <v>37.880000000000003</v>
      </c>
      <c r="J186" s="7">
        <f t="shared" si="91"/>
        <v>37.880000000000003</v>
      </c>
      <c r="K186" s="7">
        <f t="shared" si="91"/>
        <v>37.880000000000003</v>
      </c>
      <c r="L186" s="7">
        <f t="shared" si="91"/>
        <v>37.880000000000003</v>
      </c>
      <c r="M186" s="7">
        <f t="shared" si="91"/>
        <v>37.880000000000003</v>
      </c>
      <c r="N186" s="544">
        <f t="shared" si="91"/>
        <v>37.880000000000003</v>
      </c>
    </row>
    <row r="187" spans="2:14">
      <c r="B187" s="453" t="s">
        <v>125</v>
      </c>
      <c r="C187" s="7">
        <f t="shared" ref="C187:N187" si="92">C186*C181</f>
        <v>0.66113072065545209</v>
      </c>
      <c r="D187" s="7">
        <f t="shared" si="92"/>
        <v>0.66113072065545209</v>
      </c>
      <c r="E187" s="7">
        <f t="shared" si="92"/>
        <v>0.66113072065545209</v>
      </c>
      <c r="F187" s="7">
        <f t="shared" si="92"/>
        <v>0.66113072065545209</v>
      </c>
      <c r="G187" s="7">
        <f t="shared" si="92"/>
        <v>0.66113072065545209</v>
      </c>
      <c r="H187" s="7">
        <f t="shared" si="92"/>
        <v>0.66113072065545209</v>
      </c>
      <c r="I187" s="7">
        <f t="shared" si="92"/>
        <v>0.66113072065545209</v>
      </c>
      <c r="J187" s="7">
        <f t="shared" si="92"/>
        <v>0.66113072065545209</v>
      </c>
      <c r="K187" s="7">
        <f t="shared" si="92"/>
        <v>0.66113072065545209</v>
      </c>
      <c r="L187" s="7">
        <f t="shared" si="92"/>
        <v>0.66113072065545209</v>
      </c>
      <c r="M187" s="7">
        <f t="shared" si="92"/>
        <v>0.66113072065545209</v>
      </c>
      <c r="N187" s="544">
        <f t="shared" si="92"/>
        <v>0.66113072065545209</v>
      </c>
    </row>
    <row r="188" spans="2:14">
      <c r="B188" s="453" t="s">
        <v>111</v>
      </c>
      <c r="C188" s="7">
        <f t="shared" ref="C188:N188" si="93">SIN(C187)</f>
        <v>0.6140097203730337</v>
      </c>
      <c r="D188" s="7">
        <f t="shared" si="93"/>
        <v>0.6140097203730337</v>
      </c>
      <c r="E188" s="7">
        <f t="shared" si="93"/>
        <v>0.6140097203730337</v>
      </c>
      <c r="F188" s="7">
        <f t="shared" si="93"/>
        <v>0.6140097203730337</v>
      </c>
      <c r="G188" s="7">
        <f t="shared" si="93"/>
        <v>0.6140097203730337</v>
      </c>
      <c r="H188" s="7">
        <f t="shared" si="93"/>
        <v>0.6140097203730337</v>
      </c>
      <c r="I188" s="7">
        <f t="shared" si="93"/>
        <v>0.6140097203730337</v>
      </c>
      <c r="J188" s="7">
        <f t="shared" si="93"/>
        <v>0.6140097203730337</v>
      </c>
      <c r="K188" s="7">
        <f t="shared" si="93"/>
        <v>0.6140097203730337</v>
      </c>
      <c r="L188" s="7">
        <f t="shared" si="93"/>
        <v>0.6140097203730337</v>
      </c>
      <c r="M188" s="7">
        <f t="shared" si="93"/>
        <v>0.6140097203730337</v>
      </c>
      <c r="N188" s="544">
        <f t="shared" si="93"/>
        <v>0.6140097203730337</v>
      </c>
    </row>
    <row r="189" spans="2:14">
      <c r="B189" s="453" t="s">
        <v>112</v>
      </c>
      <c r="C189" s="7">
        <f>COS(C187)</f>
        <v>0.78929846274234494</v>
      </c>
      <c r="D189" s="7">
        <f t="shared" ref="D189:N189" si="94">COS(D187)</f>
        <v>0.78929846274234494</v>
      </c>
      <c r="E189" s="7">
        <f t="shared" si="94"/>
        <v>0.78929846274234494</v>
      </c>
      <c r="F189" s="7">
        <f t="shared" si="94"/>
        <v>0.78929846274234494</v>
      </c>
      <c r="G189" s="7">
        <f t="shared" si="94"/>
        <v>0.78929846274234494</v>
      </c>
      <c r="H189" s="7">
        <f t="shared" si="94"/>
        <v>0.78929846274234494</v>
      </c>
      <c r="I189" s="7">
        <f t="shared" si="94"/>
        <v>0.78929846274234494</v>
      </c>
      <c r="J189" s="7">
        <f t="shared" si="94"/>
        <v>0.78929846274234494</v>
      </c>
      <c r="K189" s="7">
        <f t="shared" si="94"/>
        <v>0.78929846274234494</v>
      </c>
      <c r="L189" s="7">
        <f t="shared" si="94"/>
        <v>0.78929846274234494</v>
      </c>
      <c r="M189" s="7">
        <f t="shared" si="94"/>
        <v>0.78929846274234494</v>
      </c>
      <c r="N189" s="544">
        <f t="shared" si="94"/>
        <v>0.78929846274234494</v>
      </c>
    </row>
    <row r="190" spans="2:14">
      <c r="B190" s="453" t="s">
        <v>113</v>
      </c>
      <c r="C190" s="7">
        <f>TAN(C187)</f>
        <v>0.77791830258950889</v>
      </c>
      <c r="D190" s="7">
        <f t="shared" ref="D190:N190" si="95">TAN(D187)</f>
        <v>0.77791830258950889</v>
      </c>
      <c r="E190" s="7">
        <f t="shared" si="95"/>
        <v>0.77791830258950889</v>
      </c>
      <c r="F190" s="7">
        <f t="shared" si="95"/>
        <v>0.77791830258950889</v>
      </c>
      <c r="G190" s="7">
        <f t="shared" si="95"/>
        <v>0.77791830258950889</v>
      </c>
      <c r="H190" s="7">
        <f t="shared" si="95"/>
        <v>0.77791830258950889</v>
      </c>
      <c r="I190" s="7">
        <f t="shared" si="95"/>
        <v>0.77791830258950889</v>
      </c>
      <c r="J190" s="7">
        <f t="shared" si="95"/>
        <v>0.77791830258950889</v>
      </c>
      <c r="K190" s="7">
        <f t="shared" si="95"/>
        <v>0.77791830258950889</v>
      </c>
      <c r="L190" s="7">
        <f t="shared" si="95"/>
        <v>0.77791830258950889</v>
      </c>
      <c r="M190" s="7">
        <f t="shared" si="95"/>
        <v>0.77791830258950889</v>
      </c>
      <c r="N190" s="544">
        <f t="shared" si="95"/>
        <v>0.77791830258950889</v>
      </c>
    </row>
    <row r="191" spans="2:14">
      <c r="B191" s="453" t="s">
        <v>126</v>
      </c>
      <c r="C191" s="7">
        <f>(C186-C182)*C181</f>
        <v>-0.26179938779914941</v>
      </c>
      <c r="D191" s="7">
        <f t="shared" ref="D191:N191" si="96">(D186-D182)*D181</f>
        <v>-0.26179938779914941</v>
      </c>
      <c r="E191" s="7">
        <f t="shared" si="96"/>
        <v>-0.26179938779914941</v>
      </c>
      <c r="F191" s="7">
        <f t="shared" si="96"/>
        <v>-0.26179938779914941</v>
      </c>
      <c r="G191" s="7">
        <f t="shared" si="96"/>
        <v>-0.26179938779914941</v>
      </c>
      <c r="H191" s="7">
        <f t="shared" si="96"/>
        <v>-0.26179938779914941</v>
      </c>
      <c r="I191" s="7">
        <f t="shared" si="96"/>
        <v>-0.26179938779914941</v>
      </c>
      <c r="J191" s="7">
        <f t="shared" si="96"/>
        <v>-0.26179938779914941</v>
      </c>
      <c r="K191" s="7">
        <f t="shared" si="96"/>
        <v>-0.26179938779914941</v>
      </c>
      <c r="L191" s="7">
        <f t="shared" si="96"/>
        <v>-0.26179938779914941</v>
      </c>
      <c r="M191" s="7">
        <f t="shared" si="96"/>
        <v>-0.26179938779914941</v>
      </c>
      <c r="N191" s="544">
        <f t="shared" si="96"/>
        <v>-0.26179938779914941</v>
      </c>
    </row>
    <row r="192" spans="2:14">
      <c r="B192" s="28" t="s">
        <v>114</v>
      </c>
      <c r="C192" s="7">
        <f t="shared" ref="C192:N192" si="97">SIN(C191)</f>
        <v>-0.25881904510252074</v>
      </c>
      <c r="D192" s="7">
        <f t="shared" si="97"/>
        <v>-0.25881904510252074</v>
      </c>
      <c r="E192" s="7">
        <f t="shared" si="97"/>
        <v>-0.25881904510252074</v>
      </c>
      <c r="F192" s="7">
        <f t="shared" si="97"/>
        <v>-0.25881904510252074</v>
      </c>
      <c r="G192" s="7">
        <f t="shared" si="97"/>
        <v>-0.25881904510252074</v>
      </c>
      <c r="H192" s="7">
        <f t="shared" si="97"/>
        <v>-0.25881904510252074</v>
      </c>
      <c r="I192" s="7">
        <f t="shared" si="97"/>
        <v>-0.25881904510252074</v>
      </c>
      <c r="J192" s="7">
        <f t="shared" si="97"/>
        <v>-0.25881904510252074</v>
      </c>
      <c r="K192" s="7">
        <f t="shared" si="97"/>
        <v>-0.25881904510252074</v>
      </c>
      <c r="L192" s="7">
        <f t="shared" si="97"/>
        <v>-0.25881904510252074</v>
      </c>
      <c r="M192" s="7">
        <f t="shared" si="97"/>
        <v>-0.25881904510252074</v>
      </c>
      <c r="N192" s="544">
        <f t="shared" si="97"/>
        <v>-0.25881904510252074</v>
      </c>
    </row>
    <row r="193" spans="2:14">
      <c r="B193" s="28" t="s">
        <v>115</v>
      </c>
      <c r="C193" s="7">
        <f>COS(C191)</f>
        <v>0.96592582628906831</v>
      </c>
      <c r="D193" s="7">
        <f t="shared" ref="D193:N193" si="98">COS(D191)</f>
        <v>0.96592582628906831</v>
      </c>
      <c r="E193" s="7">
        <f t="shared" si="98"/>
        <v>0.96592582628906831</v>
      </c>
      <c r="F193" s="7">
        <f t="shared" si="98"/>
        <v>0.96592582628906831</v>
      </c>
      <c r="G193" s="7">
        <f t="shared" si="98"/>
        <v>0.96592582628906831</v>
      </c>
      <c r="H193" s="7">
        <f t="shared" si="98"/>
        <v>0.96592582628906831</v>
      </c>
      <c r="I193" s="7">
        <f t="shared" si="98"/>
        <v>0.96592582628906831</v>
      </c>
      <c r="J193" s="7">
        <f t="shared" si="98"/>
        <v>0.96592582628906831</v>
      </c>
      <c r="K193" s="7">
        <f t="shared" si="98"/>
        <v>0.96592582628906831</v>
      </c>
      <c r="L193" s="7">
        <f t="shared" si="98"/>
        <v>0.96592582628906831</v>
      </c>
      <c r="M193" s="7">
        <f t="shared" si="98"/>
        <v>0.96592582628906831</v>
      </c>
      <c r="N193" s="544">
        <f t="shared" si="98"/>
        <v>0.96592582628906831</v>
      </c>
    </row>
    <row r="194" spans="2:14">
      <c r="B194" s="28" t="s">
        <v>116</v>
      </c>
      <c r="C194" s="7">
        <f>TAN(C191)</f>
        <v>-0.2679491924311227</v>
      </c>
      <c r="D194" s="7">
        <f t="shared" ref="D194:N194" si="99">TAN(D191)</f>
        <v>-0.2679491924311227</v>
      </c>
      <c r="E194" s="7">
        <f t="shared" si="99"/>
        <v>-0.2679491924311227</v>
      </c>
      <c r="F194" s="7">
        <f t="shared" si="99"/>
        <v>-0.2679491924311227</v>
      </c>
      <c r="G194" s="7">
        <f t="shared" si="99"/>
        <v>-0.2679491924311227</v>
      </c>
      <c r="H194" s="7">
        <f t="shared" si="99"/>
        <v>-0.2679491924311227</v>
      </c>
      <c r="I194" s="7">
        <f t="shared" si="99"/>
        <v>-0.2679491924311227</v>
      </c>
      <c r="J194" s="7">
        <f t="shared" si="99"/>
        <v>-0.2679491924311227</v>
      </c>
      <c r="K194" s="7">
        <f t="shared" si="99"/>
        <v>-0.2679491924311227</v>
      </c>
      <c r="L194" s="7">
        <f t="shared" si="99"/>
        <v>-0.2679491924311227</v>
      </c>
      <c r="M194" s="7">
        <f t="shared" si="99"/>
        <v>-0.2679491924311227</v>
      </c>
      <c r="N194" s="544">
        <f t="shared" si="99"/>
        <v>-0.2679491924311227</v>
      </c>
    </row>
    <row r="195" spans="2:14">
      <c r="B195" s="454" t="s">
        <v>127</v>
      </c>
      <c r="C195" s="7">
        <f>COS(37.5*C181)</f>
        <v>0.79335334029123517</v>
      </c>
      <c r="D195" s="7">
        <f t="shared" ref="D195:N195" si="100">COS(37.5*D181)</f>
        <v>0.79335334029123517</v>
      </c>
      <c r="E195" s="7">
        <f t="shared" si="100"/>
        <v>0.79335334029123517</v>
      </c>
      <c r="F195" s="7">
        <f t="shared" si="100"/>
        <v>0.79335334029123517</v>
      </c>
      <c r="G195" s="7">
        <f t="shared" si="100"/>
        <v>0.79335334029123517</v>
      </c>
      <c r="H195" s="7">
        <f t="shared" si="100"/>
        <v>0.79335334029123517</v>
      </c>
      <c r="I195" s="7">
        <f t="shared" si="100"/>
        <v>0.79335334029123517</v>
      </c>
      <c r="J195" s="7">
        <f t="shared" si="100"/>
        <v>0.79335334029123517</v>
      </c>
      <c r="K195" s="7">
        <f t="shared" si="100"/>
        <v>0.79335334029123517</v>
      </c>
      <c r="L195" s="7">
        <f t="shared" si="100"/>
        <v>0.79335334029123517</v>
      </c>
      <c r="M195" s="7">
        <f t="shared" si="100"/>
        <v>0.79335334029123517</v>
      </c>
      <c r="N195" s="544">
        <f t="shared" si="100"/>
        <v>0.79335334029123517</v>
      </c>
    </row>
    <row r="196" spans="2:14">
      <c r="B196" s="454" t="s">
        <v>128</v>
      </c>
      <c r="C196" s="7">
        <f>23.45*C181</f>
        <v>0.40927970959267029</v>
      </c>
      <c r="D196" s="7">
        <f t="shared" ref="D196:N196" si="101">23.45*D181</f>
        <v>0.40927970959267029</v>
      </c>
      <c r="E196" s="7">
        <f t="shared" si="101"/>
        <v>0.40927970959267029</v>
      </c>
      <c r="F196" s="7">
        <f t="shared" si="101"/>
        <v>0.40927970959267029</v>
      </c>
      <c r="G196" s="7">
        <f t="shared" si="101"/>
        <v>0.40927970959267029</v>
      </c>
      <c r="H196" s="7">
        <f t="shared" si="101"/>
        <v>0.40927970959267029</v>
      </c>
      <c r="I196" s="7">
        <f t="shared" si="101"/>
        <v>0.40927970959267029</v>
      </c>
      <c r="J196" s="7">
        <f t="shared" si="101"/>
        <v>0.40927970959267029</v>
      </c>
      <c r="K196" s="7">
        <f t="shared" si="101"/>
        <v>0.40927970959267029</v>
      </c>
      <c r="L196" s="7">
        <f t="shared" si="101"/>
        <v>0.40927970959267029</v>
      </c>
      <c r="M196" s="7">
        <f t="shared" si="101"/>
        <v>0.40927970959267029</v>
      </c>
      <c r="N196" s="544">
        <f t="shared" si="101"/>
        <v>0.40927970959267029</v>
      </c>
    </row>
    <row r="197" spans="2:14">
      <c r="B197" s="13" t="s">
        <v>101</v>
      </c>
      <c r="C197" s="1">
        <v>31</v>
      </c>
      <c r="D197" s="1">
        <v>28</v>
      </c>
      <c r="E197" s="1">
        <v>31</v>
      </c>
      <c r="F197" s="1">
        <v>30</v>
      </c>
      <c r="G197" s="1">
        <v>31</v>
      </c>
      <c r="H197" s="1">
        <v>30</v>
      </c>
      <c r="I197" s="1">
        <v>31</v>
      </c>
      <c r="J197" s="1">
        <v>31</v>
      </c>
      <c r="K197" s="1">
        <v>30</v>
      </c>
      <c r="L197" s="1">
        <v>31</v>
      </c>
      <c r="M197" s="1">
        <v>30</v>
      </c>
      <c r="N197" s="2">
        <v>31</v>
      </c>
    </row>
    <row r="198" spans="2:14">
      <c r="B198" s="454" t="s">
        <v>117</v>
      </c>
      <c r="C198" s="7">
        <f>1353*3.6</f>
        <v>4870.8</v>
      </c>
      <c r="D198" s="7">
        <f t="shared" ref="D198:N198" si="102">1353*3.6</f>
        <v>4870.8</v>
      </c>
      <c r="E198" s="7">
        <f t="shared" si="102"/>
        <v>4870.8</v>
      </c>
      <c r="F198" s="7">
        <f t="shared" si="102"/>
        <v>4870.8</v>
      </c>
      <c r="G198" s="7">
        <f t="shared" si="102"/>
        <v>4870.8</v>
      </c>
      <c r="H198" s="7">
        <f t="shared" si="102"/>
        <v>4870.8</v>
      </c>
      <c r="I198" s="7">
        <f t="shared" si="102"/>
        <v>4870.8</v>
      </c>
      <c r="J198" s="7">
        <f t="shared" si="102"/>
        <v>4870.8</v>
      </c>
      <c r="K198" s="7">
        <f t="shared" si="102"/>
        <v>4870.8</v>
      </c>
      <c r="L198" s="7">
        <f t="shared" si="102"/>
        <v>4870.8</v>
      </c>
      <c r="M198" s="7">
        <f t="shared" si="102"/>
        <v>4870.8</v>
      </c>
      <c r="N198" s="544">
        <f t="shared" si="102"/>
        <v>4870.8</v>
      </c>
    </row>
    <row r="199" spans="2:14" ht="13.5" thickBot="1">
      <c r="B199" s="28" t="s">
        <v>118</v>
      </c>
      <c r="C199" s="7">
        <f t="shared" ref="C199:N199" si="103">(24*C198)/PI()</f>
        <v>37210.171046976189</v>
      </c>
      <c r="D199" s="7">
        <f t="shared" si="103"/>
        <v>37210.171046976189</v>
      </c>
      <c r="E199" s="7">
        <f t="shared" si="103"/>
        <v>37210.171046976189</v>
      </c>
      <c r="F199" s="7">
        <f t="shared" si="103"/>
        <v>37210.171046976189</v>
      </c>
      <c r="G199" s="7">
        <f t="shared" si="103"/>
        <v>37210.171046976189</v>
      </c>
      <c r="H199" s="7">
        <f t="shared" si="103"/>
        <v>37210.171046976189</v>
      </c>
      <c r="I199" s="7">
        <f t="shared" si="103"/>
        <v>37210.171046976189</v>
      </c>
      <c r="J199" s="7">
        <f t="shared" si="103"/>
        <v>37210.171046976189</v>
      </c>
      <c r="K199" s="7">
        <f t="shared" si="103"/>
        <v>37210.171046976189</v>
      </c>
      <c r="L199" s="7">
        <f t="shared" si="103"/>
        <v>37210.171046976189</v>
      </c>
      <c r="M199" s="7">
        <f t="shared" si="103"/>
        <v>37210.171046976189</v>
      </c>
      <c r="N199" s="545">
        <f t="shared" si="103"/>
        <v>37210.171046976189</v>
      </c>
    </row>
    <row r="200" spans="2:14">
      <c r="B200" s="26" t="s">
        <v>101</v>
      </c>
      <c r="C200" s="27">
        <v>15</v>
      </c>
      <c r="D200" s="27">
        <v>46</v>
      </c>
      <c r="E200" s="27">
        <v>74</v>
      </c>
      <c r="F200" s="27">
        <v>105</v>
      </c>
      <c r="G200" s="27">
        <v>135</v>
      </c>
      <c r="H200" s="27">
        <v>166</v>
      </c>
      <c r="I200" s="27">
        <v>196</v>
      </c>
      <c r="J200" s="27">
        <v>227</v>
      </c>
      <c r="K200" s="27">
        <v>258</v>
      </c>
      <c r="L200" s="27">
        <v>270</v>
      </c>
      <c r="M200" s="27">
        <v>319</v>
      </c>
      <c r="N200" s="29">
        <v>349</v>
      </c>
    </row>
    <row r="201" spans="2:14">
      <c r="B201" s="454" t="s">
        <v>129</v>
      </c>
      <c r="C201" s="7">
        <f>(360*C181)/365</f>
        <v>1.7214206321039961E-2</v>
      </c>
      <c r="D201" s="7">
        <f t="shared" ref="D201:N201" si="104">(360*D181)/365</f>
        <v>1.7214206321039961E-2</v>
      </c>
      <c r="E201" s="7">
        <f t="shared" si="104"/>
        <v>1.7214206321039961E-2</v>
      </c>
      <c r="F201" s="7">
        <f t="shared" si="104"/>
        <v>1.7214206321039961E-2</v>
      </c>
      <c r="G201" s="7">
        <f t="shared" si="104"/>
        <v>1.7214206321039961E-2</v>
      </c>
      <c r="H201" s="7">
        <f t="shared" si="104"/>
        <v>1.7214206321039961E-2</v>
      </c>
      <c r="I201" s="7">
        <f t="shared" si="104"/>
        <v>1.7214206321039961E-2</v>
      </c>
      <c r="J201" s="7">
        <f t="shared" si="104"/>
        <v>1.7214206321039961E-2</v>
      </c>
      <c r="K201" s="7">
        <f t="shared" si="104"/>
        <v>1.7214206321039961E-2</v>
      </c>
      <c r="L201" s="7">
        <f t="shared" si="104"/>
        <v>1.7214206321039961E-2</v>
      </c>
      <c r="M201" s="7">
        <f t="shared" si="104"/>
        <v>1.7214206321039961E-2</v>
      </c>
      <c r="N201" s="544">
        <f t="shared" si="104"/>
        <v>1.7214206321039961E-2</v>
      </c>
    </row>
    <row r="202" spans="2:14">
      <c r="B202" s="454" t="s">
        <v>130</v>
      </c>
      <c r="C202" s="7">
        <f t="shared" ref="C202:N202" si="105">C196*SIN(C201*(284+C200))</f>
        <v>-0.37122234990040354</v>
      </c>
      <c r="D202" s="7">
        <f t="shared" si="105"/>
        <v>-0.23193953024048489</v>
      </c>
      <c r="E202" s="7">
        <f t="shared" si="105"/>
        <v>-4.9198713707110125E-2</v>
      </c>
      <c r="F202" s="7">
        <f t="shared" si="105"/>
        <v>0.16432088762716554</v>
      </c>
      <c r="G202" s="7">
        <f t="shared" si="105"/>
        <v>0.32798083344699769</v>
      </c>
      <c r="H202" s="7">
        <f t="shared" si="105"/>
        <v>0.40691321620538912</v>
      </c>
      <c r="I202" s="7">
        <f t="shared" si="105"/>
        <v>0.37554836000057829</v>
      </c>
      <c r="J202" s="7">
        <f t="shared" si="105"/>
        <v>0.24056857736111795</v>
      </c>
      <c r="K202" s="7">
        <f t="shared" si="105"/>
        <v>3.8691973511018649E-2</v>
      </c>
      <c r="L202" s="7">
        <f t="shared" si="105"/>
        <v>-4.5699766008172903E-2</v>
      </c>
      <c r="M202" s="7">
        <f t="shared" si="105"/>
        <v>-0.33419245656714902</v>
      </c>
      <c r="N202" s="544">
        <f t="shared" si="105"/>
        <v>-0.40727641274141724</v>
      </c>
    </row>
    <row r="203" spans="2:14">
      <c r="B203" s="28" t="s">
        <v>132</v>
      </c>
      <c r="C203" s="7">
        <f t="shared" ref="C203:N203" si="106">SIN(C202)</f>
        <v>-0.36275479176733588</v>
      </c>
      <c r="D203" s="7">
        <f t="shared" si="106"/>
        <v>-0.22986554896822295</v>
      </c>
      <c r="E203" s="7">
        <f t="shared" si="106"/>
        <v>-4.9178868417837161E-2</v>
      </c>
      <c r="F203" s="7">
        <f t="shared" si="106"/>
        <v>0.16358240425600395</v>
      </c>
      <c r="G203" s="7">
        <f t="shared" si="106"/>
        <v>0.32213215206816698</v>
      </c>
      <c r="H203" s="7">
        <f t="shared" si="106"/>
        <v>0.39577647976650848</v>
      </c>
      <c r="I203" s="7">
        <f t="shared" si="106"/>
        <v>0.36678272715173194</v>
      </c>
      <c r="J203" s="7">
        <f t="shared" si="106"/>
        <v>0.23825486875759558</v>
      </c>
      <c r="K203" s="7">
        <f t="shared" si="106"/>
        <v>3.868232014248444E-2</v>
      </c>
      <c r="L203" s="7">
        <f t="shared" si="106"/>
        <v>-4.5683860581339865E-2</v>
      </c>
      <c r="M203" s="7">
        <f t="shared" si="106"/>
        <v>-0.32800641041381234</v>
      </c>
      <c r="N203" s="544">
        <f t="shared" si="106"/>
        <v>-0.3961099940583282</v>
      </c>
    </row>
    <row r="204" spans="2:14">
      <c r="B204" s="28" t="s">
        <v>133</v>
      </c>
      <c r="C204" s="7">
        <f>COS(C202)</f>
        <v>0.93188462861549382</v>
      </c>
      <c r="D204" s="7">
        <f t="shared" ref="D204:N204" si="107">COS(D202)</f>
        <v>0.97322239462393045</v>
      </c>
      <c r="E204" s="7">
        <f t="shared" si="107"/>
        <v>0.99878998738530667</v>
      </c>
      <c r="F204" s="7">
        <f t="shared" si="107"/>
        <v>0.9865296736631014</v>
      </c>
      <c r="G204" s="7">
        <f t="shared" si="107"/>
        <v>0.94669471140591643</v>
      </c>
      <c r="H204" s="7">
        <f t="shared" si="107"/>
        <v>0.91834687240912982</v>
      </c>
      <c r="I204" s="7">
        <f t="shared" si="107"/>
        <v>0.93030663281691062</v>
      </c>
      <c r="J204" s="7">
        <f t="shared" si="107"/>
        <v>0.97120266552007617</v>
      </c>
      <c r="K204" s="7">
        <f t="shared" si="107"/>
        <v>0.99925155897221118</v>
      </c>
      <c r="L204" s="7">
        <f t="shared" si="107"/>
        <v>0.99895594741829563</v>
      </c>
      <c r="M204" s="7">
        <f t="shared" si="107"/>
        <v>0.94467549705041343</v>
      </c>
      <c r="N204" s="544">
        <f t="shared" si="107"/>
        <v>0.91820306719543865</v>
      </c>
    </row>
    <row r="205" spans="2:14">
      <c r="B205" s="454" t="s">
        <v>134</v>
      </c>
      <c r="C205" s="7">
        <f>-C190*TAN(C202)</f>
        <v>0.30282030972773238</v>
      </c>
      <c r="D205" s="7">
        <f t="shared" ref="D205:N205" si="108">-D190*TAN(D202)</f>
        <v>0.18373664505147702</v>
      </c>
      <c r="E205" s="7">
        <f t="shared" si="108"/>
        <v>3.8303489548417051E-2</v>
      </c>
      <c r="F205" s="7">
        <f t="shared" si="108"/>
        <v>-0.12899130117377336</v>
      </c>
      <c r="G205" s="7">
        <f t="shared" si="108"/>
        <v>-0.26470254235837481</v>
      </c>
      <c r="H205" s="7">
        <f t="shared" si="108"/>
        <v>-0.33525650992542388</v>
      </c>
      <c r="I205" s="7">
        <f t="shared" si="108"/>
        <v>-0.30670209849098234</v>
      </c>
      <c r="J205" s="7">
        <f t="shared" si="108"/>
        <v>-0.19083846211268832</v>
      </c>
      <c r="K205" s="7">
        <f t="shared" si="108"/>
        <v>-3.0114223545887216E-2</v>
      </c>
      <c r="L205" s="7">
        <f t="shared" si="108"/>
        <v>3.557545392368601E-2</v>
      </c>
      <c r="M205" s="7">
        <f t="shared" si="108"/>
        <v>0.27010565090794747</v>
      </c>
      <c r="N205" s="544">
        <f t="shared" si="108"/>
        <v>0.33559157579137944</v>
      </c>
    </row>
    <row r="206" spans="2:14">
      <c r="B206" s="454" t="s">
        <v>134</v>
      </c>
      <c r="C206" s="7">
        <f t="shared" ref="C206:N206" si="109">ATAN(SQRT(1-C205^2)/C205)/C181</f>
        <v>72.372923526477962</v>
      </c>
      <c r="D206" s="7">
        <f t="shared" si="109"/>
        <v>79.412515035884255</v>
      </c>
      <c r="E206" s="7">
        <f t="shared" si="109"/>
        <v>87.804834709481483</v>
      </c>
      <c r="F206" s="7">
        <f t="shared" si="109"/>
        <v>-82.588692631592835</v>
      </c>
      <c r="G206" s="7">
        <f t="shared" si="109"/>
        <v>-74.650721429230288</v>
      </c>
      <c r="H206" s="7">
        <f t="shared" si="109"/>
        <v>-70.411863069271121</v>
      </c>
      <c r="I206" s="7">
        <f t="shared" si="109"/>
        <v>-72.13940442708008</v>
      </c>
      <c r="J206" s="7">
        <f t="shared" si="109"/>
        <v>-78.998280075601585</v>
      </c>
      <c r="K206" s="7">
        <f t="shared" si="109"/>
        <v>-88.274321193752712</v>
      </c>
      <c r="L206" s="7">
        <f t="shared" si="109"/>
        <v>87.961246436124298</v>
      </c>
      <c r="M206" s="7">
        <f t="shared" si="109"/>
        <v>74.329446209462077</v>
      </c>
      <c r="N206" s="544">
        <f t="shared" si="109"/>
        <v>70.39148463022461</v>
      </c>
    </row>
    <row r="207" spans="2:14">
      <c r="B207" s="454" t="s">
        <v>134</v>
      </c>
      <c r="C207" s="7">
        <f t="shared" ref="C207:N207" si="110">IF(C206&lt;0,C206+180,C206)</f>
        <v>72.372923526477962</v>
      </c>
      <c r="D207" s="7">
        <f t="shared" si="110"/>
        <v>79.412515035884255</v>
      </c>
      <c r="E207" s="7">
        <f t="shared" si="110"/>
        <v>87.804834709481483</v>
      </c>
      <c r="F207" s="7">
        <f t="shared" si="110"/>
        <v>97.411307368407165</v>
      </c>
      <c r="G207" s="7">
        <f t="shared" si="110"/>
        <v>105.34927857076971</v>
      </c>
      <c r="H207" s="7">
        <f t="shared" si="110"/>
        <v>109.58813693072888</v>
      </c>
      <c r="I207" s="7">
        <f t="shared" si="110"/>
        <v>107.86059557291992</v>
      </c>
      <c r="J207" s="7">
        <f t="shared" si="110"/>
        <v>101.00171992439842</v>
      </c>
      <c r="K207" s="7">
        <f t="shared" si="110"/>
        <v>91.725678806247288</v>
      </c>
      <c r="L207" s="7">
        <f t="shared" si="110"/>
        <v>87.961246436124298</v>
      </c>
      <c r="M207" s="7">
        <f t="shared" si="110"/>
        <v>74.329446209462077</v>
      </c>
      <c r="N207" s="544">
        <f t="shared" si="110"/>
        <v>70.39148463022461</v>
      </c>
    </row>
    <row r="208" spans="2:14">
      <c r="B208" s="454" t="s">
        <v>142</v>
      </c>
      <c r="C208" s="7">
        <f t="shared" ref="C208:N208" si="111">C207*C181</f>
        <v>1.2631458048311059</v>
      </c>
      <c r="D208" s="7">
        <f t="shared" si="111"/>
        <v>1.3860098546656832</v>
      </c>
      <c r="E208" s="7">
        <f t="shared" si="111"/>
        <v>1.5324834648498507</v>
      </c>
      <c r="F208" s="7">
        <f t="shared" si="111"/>
        <v>1.7001480422509181</v>
      </c>
      <c r="G208" s="7">
        <f t="shared" si="111"/>
        <v>1.8386917756606376</v>
      </c>
      <c r="H208" s="7">
        <f t="shared" si="111"/>
        <v>1.912673810567612</v>
      </c>
      <c r="I208" s="7">
        <f t="shared" si="111"/>
        <v>1.8825225259094722</v>
      </c>
      <c r="J208" s="7">
        <f t="shared" si="111"/>
        <v>1.7628125628579105</v>
      </c>
      <c r="K208" s="7">
        <f t="shared" si="111"/>
        <v>1.6009151037957972</v>
      </c>
      <c r="L208" s="7">
        <f t="shared" si="111"/>
        <v>1.5352133644684971</v>
      </c>
      <c r="M208" s="7">
        <f t="shared" si="111"/>
        <v>1.2972935675391319</v>
      </c>
      <c r="N208" s="544">
        <f t="shared" si="111"/>
        <v>1.2285631721644026</v>
      </c>
    </row>
    <row r="209" spans="2:14">
      <c r="B209" s="28" t="s">
        <v>135</v>
      </c>
      <c r="C209" s="7">
        <f>-C194*TAN(C202)</f>
        <v>-0.10430460007585712</v>
      </c>
      <c r="D209" s="7">
        <f t="shared" ref="D209:N209" si="112">-D194*TAN(D202)</f>
        <v>-6.3286961494111851E-2</v>
      </c>
      <c r="E209" s="7">
        <f t="shared" si="112"/>
        <v>-1.3193402260401723E-2</v>
      </c>
      <c r="F209" s="7">
        <f t="shared" si="112"/>
        <v>4.443026326170723E-2</v>
      </c>
      <c r="G209" s="7">
        <f t="shared" si="112"/>
        <v>9.1175168681971716E-2</v>
      </c>
      <c r="H209" s="7">
        <f t="shared" si="112"/>
        <v>0.11547705047273621</v>
      </c>
      <c r="I209" s="7">
        <f t="shared" si="112"/>
        <v>0.10564165842869278</v>
      </c>
      <c r="J209" s="7">
        <f t="shared" si="112"/>
        <v>6.5733138862623094E-2</v>
      </c>
      <c r="K209" s="7">
        <f t="shared" si="112"/>
        <v>1.0372659767678283E-2</v>
      </c>
      <c r="L209" s="7">
        <f t="shared" si="112"/>
        <v>-1.2253747106207805E-2</v>
      </c>
      <c r="M209" s="7">
        <f t="shared" si="112"/>
        <v>-9.3036236312925277E-2</v>
      </c>
      <c r="N209" s="544">
        <f t="shared" si="112"/>
        <v>-0.11559246185706175</v>
      </c>
    </row>
    <row r="210" spans="2:14">
      <c r="B210" s="28" t="s">
        <v>135</v>
      </c>
      <c r="C210" s="7">
        <f t="shared" ref="C210:N210" si="113">ATAN(SQRT(1-C209^2)/C209)/C181</f>
        <v>-84.012896915113217</v>
      </c>
      <c r="D210" s="7">
        <f t="shared" si="113"/>
        <v>-86.371499284724351</v>
      </c>
      <c r="E210" s="7">
        <f t="shared" si="113"/>
        <v>-89.244051801182962</v>
      </c>
      <c r="F210" s="7">
        <f t="shared" si="113"/>
        <v>87.453495142773789</v>
      </c>
      <c r="G210" s="7">
        <f t="shared" si="113"/>
        <v>84.768782719658375</v>
      </c>
      <c r="H210" s="7">
        <f t="shared" si="113"/>
        <v>83.368858654567376</v>
      </c>
      <c r="I210" s="7">
        <f t="shared" si="113"/>
        <v>83.935863503483432</v>
      </c>
      <c r="J210" s="7">
        <f t="shared" si="113"/>
        <v>86.231051064455272</v>
      </c>
      <c r="K210" s="7">
        <f t="shared" si="113"/>
        <v>89.405679715303634</v>
      </c>
      <c r="L210" s="7">
        <f t="shared" si="113"/>
        <v>-89.297894436149036</v>
      </c>
      <c r="M210" s="7">
        <f t="shared" si="113"/>
        <v>-84.661696183427878</v>
      </c>
      <c r="N210" s="544">
        <f t="shared" si="113"/>
        <v>-83.362201489213945</v>
      </c>
    </row>
    <row r="211" spans="2:14">
      <c r="B211" s="28" t="s">
        <v>135</v>
      </c>
      <c r="C211" s="7">
        <f t="shared" ref="C211:N211" si="114">IF(C210&lt;0,C210+180,C210)</f>
        <v>95.987103084886783</v>
      </c>
      <c r="D211" s="7">
        <f t="shared" si="114"/>
        <v>93.628500715275649</v>
      </c>
      <c r="E211" s="7">
        <f t="shared" si="114"/>
        <v>90.755948198817038</v>
      </c>
      <c r="F211" s="7">
        <f t="shared" si="114"/>
        <v>87.453495142773789</v>
      </c>
      <c r="G211" s="7">
        <f t="shared" si="114"/>
        <v>84.768782719658375</v>
      </c>
      <c r="H211" s="7">
        <f t="shared" si="114"/>
        <v>83.368858654567376</v>
      </c>
      <c r="I211" s="7">
        <f t="shared" si="114"/>
        <v>83.935863503483432</v>
      </c>
      <c r="J211" s="7">
        <f t="shared" si="114"/>
        <v>86.231051064455272</v>
      </c>
      <c r="K211" s="7">
        <f t="shared" si="114"/>
        <v>89.405679715303634</v>
      </c>
      <c r="L211" s="7">
        <f t="shared" si="114"/>
        <v>90.702105563850964</v>
      </c>
      <c r="M211" s="7">
        <f t="shared" si="114"/>
        <v>95.338303816572122</v>
      </c>
      <c r="N211" s="544">
        <f t="shared" si="114"/>
        <v>96.637798510786055</v>
      </c>
    </row>
    <row r="212" spans="2:14">
      <c r="B212" s="28" t="s">
        <v>136</v>
      </c>
      <c r="C212" s="7">
        <f t="shared" ref="C212:N212" si="115">C211*C181</f>
        <v>1.6752909882824805</v>
      </c>
      <c r="D212" s="7">
        <f t="shared" si="115"/>
        <v>1.6341256111874261</v>
      </c>
      <c r="E212" s="7">
        <f t="shared" si="115"/>
        <v>1.5839901118387747</v>
      </c>
      <c r="F212" s="7">
        <f t="shared" si="115"/>
        <v>1.526351432618271</v>
      </c>
      <c r="G212" s="7">
        <f t="shared" si="115"/>
        <v>1.4794943613657121</v>
      </c>
      <c r="H212" s="7">
        <f t="shared" si="115"/>
        <v>1.4550610771519707</v>
      </c>
      <c r="I212" s="7">
        <f t="shared" si="115"/>
        <v>1.4649571786403288</v>
      </c>
      <c r="J212" s="7">
        <f t="shared" si="115"/>
        <v>1.5050157585301056</v>
      </c>
      <c r="K212" s="7">
        <f t="shared" si="115"/>
        <v>1.5604234810155548</v>
      </c>
      <c r="L212" s="7">
        <f t="shared" si="115"/>
        <v>1.5830503805806673</v>
      </c>
      <c r="M212" s="7">
        <f t="shared" si="115"/>
        <v>1.6639673048658596</v>
      </c>
      <c r="N212" s="544">
        <f t="shared" si="115"/>
        <v>1.6866477658920895</v>
      </c>
    </row>
    <row r="213" spans="2:14">
      <c r="B213" s="454" t="s">
        <v>137</v>
      </c>
      <c r="C213" s="7">
        <f>C208*C188*C203+C189*C204*SIN(C208)</f>
        <v>0.41965327661589297</v>
      </c>
      <c r="D213" s="7">
        <f t="shared" ref="D213:N213" si="116">D208*D188*D203+D189*D204*SIN(D208)</f>
        <v>0.55946436520158616</v>
      </c>
      <c r="E213" s="7">
        <f t="shared" si="116"/>
        <v>0.74148954205508899</v>
      </c>
      <c r="F213" s="7">
        <f t="shared" si="116"/>
        <v>0.94292604837324412</v>
      </c>
      <c r="G213" s="7">
        <f t="shared" si="116"/>
        <v>1.0842502843581097</v>
      </c>
      <c r="H213" s="7">
        <f t="shared" si="116"/>
        <v>1.1477004834155249</v>
      </c>
      <c r="I213" s="7">
        <f t="shared" si="116"/>
        <v>1.12286035255836</v>
      </c>
      <c r="J213" s="7">
        <f t="shared" si="116"/>
        <v>1.0103636219249039</v>
      </c>
      <c r="K213" s="7">
        <f t="shared" si="116"/>
        <v>0.82637385982653222</v>
      </c>
      <c r="L213" s="7">
        <f t="shared" si="116"/>
        <v>0.74491203564158803</v>
      </c>
      <c r="M213" s="7">
        <f t="shared" si="116"/>
        <v>0.45664254227725803</v>
      </c>
      <c r="N213" s="544">
        <f t="shared" si="116"/>
        <v>0.38390159749318331</v>
      </c>
    </row>
    <row r="214" spans="2:14">
      <c r="B214" s="454" t="s">
        <v>137</v>
      </c>
      <c r="C214" s="7">
        <f t="shared" ref="C214:N214" si="117">C199*(1+0.033*COS(C201*C200))*C213</f>
        <v>16113.593859111455</v>
      </c>
      <c r="D214" s="7">
        <f t="shared" si="117"/>
        <v>21300.391428925424</v>
      </c>
      <c r="E214" s="7">
        <f t="shared" si="117"/>
        <v>27857.365715986991</v>
      </c>
      <c r="F214" s="7">
        <f t="shared" si="117"/>
        <v>34814.933101809205</v>
      </c>
      <c r="G214" s="7">
        <f t="shared" si="117"/>
        <v>39434.575352811044</v>
      </c>
      <c r="H214" s="7">
        <f t="shared" si="117"/>
        <v>41353.295919669195</v>
      </c>
      <c r="I214" s="7">
        <f t="shared" si="117"/>
        <v>40440.089973169517</v>
      </c>
      <c r="J214" s="7">
        <f t="shared" si="117"/>
        <v>36701.699200869007</v>
      </c>
      <c r="K214" s="7">
        <f t="shared" si="117"/>
        <v>30477.75241366648</v>
      </c>
      <c r="L214" s="7">
        <f t="shared" si="117"/>
        <v>27659.29812180937</v>
      </c>
      <c r="M214" s="7">
        <f t="shared" si="117"/>
        <v>17385.67368826165</v>
      </c>
      <c r="N214" s="544">
        <f t="shared" si="117"/>
        <v>14738.682819286218</v>
      </c>
    </row>
    <row r="215" spans="2:14">
      <c r="B215" s="454" t="s">
        <v>143</v>
      </c>
      <c r="C215" s="7">
        <f>VLOOKUP('Intensidad y Ángulo incli.'!$P$20,$A$3:$O$71,3,FALSE)*86.01</f>
        <v>6708.7800000000007</v>
      </c>
      <c r="D215" s="7">
        <f>VLOOKUP('Intensidad y Ángulo incli.'!$P$20,$A$3:$O$71,4,FALSE)*86.01</f>
        <v>7826.9100000000008</v>
      </c>
      <c r="E215" s="7">
        <f>VLOOKUP('Intensidad y Ángulo incli.'!$P$20,$A$3:$O$71,5,FALSE)*86.01</f>
        <v>12557.460000000001</v>
      </c>
      <c r="F215" s="7">
        <f>VLOOKUP('Intensidad y Ángulo incli.'!$P$20,$A$3:$O$71,6,FALSE)*86.01</f>
        <v>13847.61</v>
      </c>
      <c r="G215" s="7">
        <f>VLOOKUP('Intensidad y Ángulo incli.'!$P$20,$A$3:$O$71,7,FALSE)*86.01</f>
        <v>17632.05</v>
      </c>
      <c r="H215" s="7">
        <f>VLOOKUP('Intensidad y Ángulo incli.'!$P$20,$A$3:$O$71,8,FALSE)*86.01</f>
        <v>18578.16</v>
      </c>
      <c r="I215" s="7">
        <f>VLOOKUP('Intensidad y Ángulo incli.'!$P$20,$A$3:$O$71,9,FALSE)*86.01</f>
        <v>20212.350000000002</v>
      </c>
      <c r="J215" s="7">
        <f>VLOOKUP('Intensidad y Ángulo incli.'!$P$20,$A$3:$O$71,10,FALSE)*86.01</f>
        <v>17374.02</v>
      </c>
      <c r="K215" s="7">
        <f>VLOOKUP('Intensidad y Ángulo incli.'!$P$20,$A$3:$O$71,11,FALSE)*86.01</f>
        <v>13847.61</v>
      </c>
      <c r="L215" s="7">
        <f>VLOOKUP('Intensidad y Ángulo incli.'!$P$20,$A$3:$O$71,12,FALSE)*86.01</f>
        <v>10321.200000000001</v>
      </c>
      <c r="M215" s="7">
        <f>VLOOKUP('Intensidad y Ángulo incli.'!$P$20,$A$3:$O$71,13,FALSE)*86.01</f>
        <v>6450.75</v>
      </c>
      <c r="N215" s="544">
        <f>VLOOKUP('Intensidad y Ángulo incli.'!$P$20,$A$3:$O$71,14,FALSE)*86.01</f>
        <v>5762.67</v>
      </c>
    </row>
    <row r="216" spans="2:14">
      <c r="B216" s="454" t="s">
        <v>138</v>
      </c>
      <c r="C216" s="7">
        <f t="shared" ref="C216:N216" si="118">C215/C214</f>
        <v>0.41634287537950521</v>
      </c>
      <c r="D216" s="7">
        <f t="shared" si="118"/>
        <v>0.3674538107018655</v>
      </c>
      <c r="E216" s="7">
        <f t="shared" si="118"/>
        <v>0.45077700914101265</v>
      </c>
      <c r="F216" s="7">
        <f t="shared" si="118"/>
        <v>0.39774914860544114</v>
      </c>
      <c r="G216" s="7">
        <f t="shared" si="118"/>
        <v>0.4471215891701778</v>
      </c>
      <c r="H216" s="7">
        <f t="shared" si="118"/>
        <v>0.44925463827814321</v>
      </c>
      <c r="I216" s="7">
        <f t="shared" si="118"/>
        <v>0.49980971885597036</v>
      </c>
      <c r="J216" s="7">
        <f t="shared" si="118"/>
        <v>0.47338462191932046</v>
      </c>
      <c r="K216" s="7">
        <f t="shared" si="118"/>
        <v>0.45435141712715721</v>
      </c>
      <c r="L216" s="7">
        <f t="shared" si="118"/>
        <v>0.3731548051055471</v>
      </c>
      <c r="M216" s="7">
        <f t="shared" si="118"/>
        <v>0.3710382534302008</v>
      </c>
      <c r="N216" s="544">
        <f t="shared" si="118"/>
        <v>0.39098948465457795</v>
      </c>
    </row>
    <row r="217" spans="2:14">
      <c r="B217" s="454" t="s">
        <v>139</v>
      </c>
      <c r="C217" s="7">
        <f t="shared" ref="C217:N217" si="119">C216</f>
        <v>0.41634287537950521</v>
      </c>
      <c r="D217" s="7">
        <f t="shared" si="119"/>
        <v>0.3674538107018655</v>
      </c>
      <c r="E217" s="7">
        <f t="shared" si="119"/>
        <v>0.45077700914101265</v>
      </c>
      <c r="F217" s="7">
        <f t="shared" si="119"/>
        <v>0.39774914860544114</v>
      </c>
      <c r="G217" s="7">
        <f t="shared" si="119"/>
        <v>0.4471215891701778</v>
      </c>
      <c r="H217" s="7">
        <f t="shared" si="119"/>
        <v>0.44925463827814321</v>
      </c>
      <c r="I217" s="7">
        <f t="shared" si="119"/>
        <v>0.49980971885597036</v>
      </c>
      <c r="J217" s="7">
        <f t="shared" si="119"/>
        <v>0.47338462191932046</v>
      </c>
      <c r="K217" s="7">
        <f t="shared" si="119"/>
        <v>0.45435141712715721</v>
      </c>
      <c r="L217" s="7">
        <f t="shared" si="119"/>
        <v>0.3731548051055471</v>
      </c>
      <c r="M217" s="7">
        <f t="shared" si="119"/>
        <v>0.3710382534302008</v>
      </c>
      <c r="N217" s="544">
        <f t="shared" si="119"/>
        <v>0.39098948465457795</v>
      </c>
    </row>
    <row r="218" spans="2:14">
      <c r="B218" s="454" t="s">
        <v>140</v>
      </c>
      <c r="C218" s="7">
        <f>1.39-4.03*C216+5.53*C216^2-3.11*C216^3</f>
        <v>0.44626910040382178</v>
      </c>
      <c r="D218" s="7">
        <f t="shared" ref="D218:N218" si="120">1.39-4.03*D216+5.53*D216^2-3.11*D216^3</f>
        <v>0.50153350858285328</v>
      </c>
      <c r="E218" s="7">
        <f t="shared" si="120"/>
        <v>0.41219485728632826</v>
      </c>
      <c r="F218" s="7">
        <f t="shared" si="120"/>
        <v>0.46624238024235098</v>
      </c>
      <c r="G218" s="7">
        <f t="shared" si="120"/>
        <v>0.4156497544624983</v>
      </c>
      <c r="H218" s="7">
        <f t="shared" si="120"/>
        <v>0.41362936400598216</v>
      </c>
      <c r="I218" s="7">
        <f t="shared" si="120"/>
        <v>0.36890844039281112</v>
      </c>
      <c r="J218" s="7">
        <f t="shared" si="120"/>
        <v>0.39157868471143858</v>
      </c>
      <c r="K218" s="7">
        <f t="shared" si="120"/>
        <v>0.40885075633983514</v>
      </c>
      <c r="L218" s="7">
        <f t="shared" si="120"/>
        <v>0.49461342213873327</v>
      </c>
      <c r="M218" s="7">
        <f t="shared" si="120"/>
        <v>0.49716684857030835</v>
      </c>
      <c r="N218" s="544">
        <f t="shared" si="120"/>
        <v>0.47380900792504843</v>
      </c>
    </row>
    <row r="219" spans="2:14">
      <c r="B219" s="454" t="s">
        <v>131</v>
      </c>
      <c r="C219" s="7">
        <f>C189*C204*SIN(C208)+C208*C188*C203</f>
        <v>0.41965327661589297</v>
      </c>
      <c r="D219" s="7">
        <f t="shared" ref="D219:N219" si="121">D189*D204*SIN(D208)+D208*D188*D203</f>
        <v>0.55946436520158616</v>
      </c>
      <c r="E219" s="7">
        <f t="shared" si="121"/>
        <v>0.74148954205508899</v>
      </c>
      <c r="F219" s="7">
        <f t="shared" si="121"/>
        <v>0.94292604837324412</v>
      </c>
      <c r="G219" s="7">
        <f t="shared" si="121"/>
        <v>1.0842502843581097</v>
      </c>
      <c r="H219" s="7">
        <f t="shared" si="121"/>
        <v>1.1477004834155249</v>
      </c>
      <c r="I219" s="7">
        <f t="shared" si="121"/>
        <v>1.12286035255836</v>
      </c>
      <c r="J219" s="7">
        <f t="shared" si="121"/>
        <v>1.0103636219249039</v>
      </c>
      <c r="K219" s="7">
        <f t="shared" si="121"/>
        <v>0.82637385982653222</v>
      </c>
      <c r="L219" s="7">
        <f t="shared" si="121"/>
        <v>0.74491203564158803</v>
      </c>
      <c r="M219" s="7">
        <f t="shared" si="121"/>
        <v>0.45664254227725803</v>
      </c>
      <c r="N219" s="544">
        <f t="shared" si="121"/>
        <v>0.38390159749318331</v>
      </c>
    </row>
    <row r="220" spans="2:14">
      <c r="B220" s="454" t="s">
        <v>131</v>
      </c>
      <c r="C220" s="7">
        <f t="shared" ref="C220:N220" si="122">(C193*C204*SIN(IF(C211&gt;C207,C208,C212))+IF(C211&gt;C207,C208,C212)*C192*C203)/C219</f>
        <v>2.3268308818747272</v>
      </c>
      <c r="D220" s="7">
        <f t="shared" si="122"/>
        <v>1.7990695068237772</v>
      </c>
      <c r="E220" s="7">
        <f t="shared" si="122"/>
        <v>1.3264585785753602</v>
      </c>
      <c r="F220" s="7">
        <f t="shared" si="122"/>
        <v>0.94106048046884838</v>
      </c>
      <c r="G220" s="7">
        <f t="shared" si="122"/>
        <v>0.72610251177390583</v>
      </c>
      <c r="H220" s="7">
        <f t="shared" si="122"/>
        <v>0.63786002171254363</v>
      </c>
      <c r="I220" s="7">
        <f t="shared" si="122"/>
        <v>0.67195348662158438</v>
      </c>
      <c r="J220" s="7">
        <f t="shared" si="122"/>
        <v>0.83462445455881107</v>
      </c>
      <c r="K220" s="7">
        <f t="shared" si="122"/>
        <v>1.1490300984336903</v>
      </c>
      <c r="L220" s="7">
        <f t="shared" si="122"/>
        <v>1.3188922182564209</v>
      </c>
      <c r="M220" s="7">
        <f t="shared" si="122"/>
        <v>2.1651570173691721</v>
      </c>
      <c r="N220" s="544">
        <f t="shared" si="122"/>
        <v>2.5043786027960939</v>
      </c>
    </row>
    <row r="221" spans="2:14">
      <c r="B221" s="454" t="s">
        <v>141</v>
      </c>
      <c r="C221" s="7">
        <f t="shared" ref="C221:N221" si="123">((1-C218)*C220+C218*(1+C185)/2+0.2*(1-C185)/2)</f>
        <v>1.6858827291594063</v>
      </c>
      <c r="D221" s="7">
        <f t="shared" si="123"/>
        <v>1.3385282989754024</v>
      </c>
      <c r="E221" s="7">
        <f t="shared" si="123"/>
        <v>1.1498249537757428</v>
      </c>
      <c r="F221" s="7">
        <f t="shared" si="123"/>
        <v>0.9157562147295798</v>
      </c>
      <c r="G221" s="7">
        <f t="shared" si="123"/>
        <v>0.79719390098207565</v>
      </c>
      <c r="H221" s="7">
        <f t="shared" si="123"/>
        <v>0.74529827227858492</v>
      </c>
      <c r="I221" s="7">
        <f t="shared" si="123"/>
        <v>0.75948536401042221</v>
      </c>
      <c r="J221" s="7">
        <f t="shared" si="123"/>
        <v>0.86140021234441011</v>
      </c>
      <c r="K221" s="7">
        <f t="shared" si="123"/>
        <v>1.0466929431967318</v>
      </c>
      <c r="L221" s="7">
        <f t="shared" si="123"/>
        <v>1.1027547267332147</v>
      </c>
      <c r="M221" s="7">
        <f t="shared" si="123"/>
        <v>1.5269642205921332</v>
      </c>
      <c r="N221" s="544">
        <f t="shared" si="123"/>
        <v>1.7373059663044417</v>
      </c>
    </row>
    <row r="222" spans="2:14">
      <c r="B222" s="453"/>
      <c r="N222" s="544"/>
    </row>
    <row r="223" spans="2:14">
      <c r="B223" s="30" t="s">
        <v>144</v>
      </c>
      <c r="C223" s="7">
        <f>C203*C188*C185</f>
        <v>-0.13441751530552873</v>
      </c>
      <c r="D223" s="7">
        <f t="shared" ref="D223:N223" si="124">D203*D188*D185</f>
        <v>-8.5175872649718806E-2</v>
      </c>
      <c r="E223" s="7">
        <f t="shared" si="124"/>
        <v>-1.8223057140215701E-2</v>
      </c>
      <c r="F223" s="7">
        <f t="shared" si="124"/>
        <v>6.0614885941739693E-2</v>
      </c>
      <c r="G223" s="7">
        <f t="shared" si="124"/>
        <v>0.11936493869610322</v>
      </c>
      <c r="H223" s="7">
        <f t="shared" si="124"/>
        <v>0.14665358593168895</v>
      </c>
      <c r="I223" s="7">
        <f t="shared" si="124"/>
        <v>0.13591005262955391</v>
      </c>
      <c r="J223" s="7">
        <f t="shared" si="124"/>
        <v>8.8284505662385507E-2</v>
      </c>
      <c r="K223" s="7">
        <f t="shared" si="124"/>
        <v>1.4333598005621047E-2</v>
      </c>
      <c r="L223" s="7">
        <f t="shared" si="124"/>
        <v>-1.692799424920189E-2</v>
      </c>
      <c r="M223" s="7">
        <f t="shared" si="124"/>
        <v>-0.12154162451529661</v>
      </c>
      <c r="N223" s="544">
        <f t="shared" si="124"/>
        <v>-0.14677716848233394</v>
      </c>
    </row>
    <row r="224" spans="2:14">
      <c r="B224" s="30" t="s">
        <v>144</v>
      </c>
      <c r="C224" s="7">
        <f t="shared" ref="C224:N224" si="125">C223-C203*C189*C184</f>
        <v>9.3887848811585572E-2</v>
      </c>
      <c r="D224" s="7">
        <f t="shared" si="125"/>
        <v>5.9493581885922173E-2</v>
      </c>
      <c r="E224" s="7">
        <f t="shared" si="125"/>
        <v>1.2728427763127128E-2</v>
      </c>
      <c r="F224" s="7">
        <f t="shared" si="125"/>
        <v>-4.2338241665113463E-2</v>
      </c>
      <c r="G224" s="7">
        <f t="shared" si="125"/>
        <v>-8.3373935995102968E-2</v>
      </c>
      <c r="H224" s="7">
        <f t="shared" si="125"/>
        <v>-0.10243449056720486</v>
      </c>
      <c r="I224" s="7">
        <f t="shared" si="125"/>
        <v>-9.4930355201509636E-2</v>
      </c>
      <c r="J224" s="7">
        <f t="shared" si="125"/>
        <v>-6.1664897622867268E-2</v>
      </c>
      <c r="K224" s="7">
        <f t="shared" si="125"/>
        <v>-1.0011721161627825E-2</v>
      </c>
      <c r="L224" s="7">
        <f t="shared" si="125"/>
        <v>1.182385317225907E-2</v>
      </c>
      <c r="M224" s="7">
        <f t="shared" si="125"/>
        <v>8.4894305930808447E-2</v>
      </c>
      <c r="N224" s="544">
        <f t="shared" si="125"/>
        <v>0.10252081041774164</v>
      </c>
    </row>
    <row r="225" spans="2:15">
      <c r="B225" s="30" t="s">
        <v>144</v>
      </c>
      <c r="C225" s="7">
        <f t="shared" ref="C225:N225" si="126">C224+C204*C189*C185*C195</f>
        <v>0.44604581621202399</v>
      </c>
      <c r="D225" s="7">
        <f t="shared" si="126"/>
        <v>0.42727303633249208</v>
      </c>
      <c r="E225" s="7">
        <f t="shared" si="126"/>
        <v>0.39016984166442631</v>
      </c>
      <c r="F225" s="7">
        <f t="shared" si="126"/>
        <v>0.33047001591240549</v>
      </c>
      <c r="G225" s="7">
        <f t="shared" si="126"/>
        <v>0.2743807420842701</v>
      </c>
      <c r="H225" s="7">
        <f t="shared" si="126"/>
        <v>0.24460757668593872</v>
      </c>
      <c r="I225" s="7">
        <f t="shared" si="126"/>
        <v>0.25663128967580584</v>
      </c>
      <c r="J225" s="7">
        <f t="shared" si="126"/>
        <v>0.30535130386934328</v>
      </c>
      <c r="K225" s="7">
        <f t="shared" si="126"/>
        <v>0.36760412003127241</v>
      </c>
      <c r="L225" s="7">
        <f t="shared" si="126"/>
        <v>0.38932798315030481</v>
      </c>
      <c r="M225" s="7">
        <f t="shared" si="126"/>
        <v>0.44188592557854267</v>
      </c>
      <c r="N225" s="544">
        <f t="shared" si="126"/>
        <v>0.4495085338710198</v>
      </c>
    </row>
    <row r="226" spans="2:15">
      <c r="B226" s="30" t="s">
        <v>144</v>
      </c>
      <c r="C226" s="7">
        <f t="shared" ref="C226:N226" si="127">C225+C204*C188*C184*C195</f>
        <v>0.80801012542506834</v>
      </c>
      <c r="D226" s="7">
        <f t="shared" si="127"/>
        <v>0.80529383522053455</v>
      </c>
      <c r="E226" s="7">
        <f t="shared" si="127"/>
        <v>0.77812165107451325</v>
      </c>
      <c r="F226" s="7">
        <f t="shared" si="127"/>
        <v>0.71365965214040394</v>
      </c>
      <c r="G226" s="7">
        <f t="shared" si="127"/>
        <v>0.64209761038243174</v>
      </c>
      <c r="H226" s="7">
        <f t="shared" si="127"/>
        <v>0.60131352620180534</v>
      </c>
      <c r="I226" s="7">
        <f t="shared" si="127"/>
        <v>0.61798267091296555</v>
      </c>
      <c r="J226" s="7">
        <f t="shared" si="127"/>
        <v>0.68258759593387452</v>
      </c>
      <c r="K226" s="7">
        <f t="shared" si="127"/>
        <v>0.75573521391014009</v>
      </c>
      <c r="L226" s="7">
        <f t="shared" si="127"/>
        <v>0.77734425505591243</v>
      </c>
      <c r="M226" s="7">
        <f t="shared" si="127"/>
        <v>0.80881848699267667</v>
      </c>
      <c r="N226" s="544">
        <f t="shared" si="127"/>
        <v>0.80615862630626012</v>
      </c>
    </row>
    <row r="227" spans="2:15">
      <c r="B227" s="30" t="s">
        <v>144</v>
      </c>
      <c r="C227" s="7">
        <f t="shared" ref="C227:N227" si="128">ATAN(SQRT(1-C226^2)/C226)/C181</f>
        <v>36.098031587642701</v>
      </c>
      <c r="D227" s="7">
        <f t="shared" si="128"/>
        <v>36.361357867238546</v>
      </c>
      <c r="E227" s="7">
        <f t="shared" si="128"/>
        <v>38.91108418203892</v>
      </c>
      <c r="F227" s="7">
        <f t="shared" si="128"/>
        <v>44.466539785927701</v>
      </c>
      <c r="G227" s="7">
        <f t="shared" si="128"/>
        <v>50.05158855338297</v>
      </c>
      <c r="H227" s="7">
        <f t="shared" si="128"/>
        <v>53.035969932729635</v>
      </c>
      <c r="I227" s="7">
        <f t="shared" si="128"/>
        <v>51.831032390641013</v>
      </c>
      <c r="J227" s="7">
        <f t="shared" si="128"/>
        <v>46.95382066976785</v>
      </c>
      <c r="K227" s="7">
        <f t="shared" si="128"/>
        <v>40.910347332611522</v>
      </c>
      <c r="L227" s="7">
        <f t="shared" si="128"/>
        <v>38.981943064415802</v>
      </c>
      <c r="M227" s="7">
        <f t="shared" si="128"/>
        <v>36.019345489165609</v>
      </c>
      <c r="N227" s="544">
        <f t="shared" si="128"/>
        <v>36.277701104857073</v>
      </c>
    </row>
    <row r="229" spans="2:15">
      <c r="C229" s="17">
        <f>C215*C221*1.05</f>
        <v>11875.727152516545</v>
      </c>
      <c r="D229" s="17">
        <f t="shared" ref="D229:N229" si="129">D215*D221*1.05</f>
        <v>11000.367554960247</v>
      </c>
      <c r="E229" s="17">
        <f t="shared" si="129"/>
        <v>15160.824907242779</v>
      </c>
      <c r="F229" s="17">
        <f t="shared" si="129"/>
        <v>13315.086662484051</v>
      </c>
      <c r="G229" s="17">
        <f t="shared" si="129"/>
        <v>14758.970857901557</v>
      </c>
      <c r="H229" s="17">
        <f t="shared" si="129"/>
        <v>14538.584077620872</v>
      </c>
      <c r="I229" s="17">
        <f t="shared" si="129"/>
        <v>16118.533197118863</v>
      </c>
      <c r="J229" s="17">
        <f t="shared" si="129"/>
        <v>15714.283743139831</v>
      </c>
      <c r="K229" s="17">
        <f t="shared" si="129"/>
        <v>15218.905450497521</v>
      </c>
      <c r="L229" s="17">
        <f t="shared" si="129"/>
        <v>11950.839689836801</v>
      </c>
      <c r="M229" s="17">
        <f t="shared" si="129"/>
        <v>10342.567668283938</v>
      </c>
      <c r="N229" s="17">
        <f t="shared" si="129"/>
        <v>10512.097021485797</v>
      </c>
      <c r="O229" s="17">
        <f>SUM(C229:N229)/86.01</f>
        <v>1866.1410066630485</v>
      </c>
    </row>
    <row r="230" spans="2:15" ht="13.5" thickBot="1"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</row>
    <row r="231" spans="2:15">
      <c r="B231" s="26" t="s">
        <v>110</v>
      </c>
      <c r="C231" s="27">
        <f>PI()/180</f>
        <v>1.7453292519943295E-2</v>
      </c>
      <c r="D231" s="27">
        <f t="shared" ref="D231:N231" si="130">PI()/180</f>
        <v>1.7453292519943295E-2</v>
      </c>
      <c r="E231" s="27">
        <f t="shared" si="130"/>
        <v>1.7453292519943295E-2</v>
      </c>
      <c r="F231" s="27">
        <f t="shared" si="130"/>
        <v>1.7453292519943295E-2</v>
      </c>
      <c r="G231" s="27">
        <f t="shared" si="130"/>
        <v>1.7453292519943295E-2</v>
      </c>
      <c r="H231" s="27">
        <f t="shared" si="130"/>
        <v>1.7453292519943295E-2</v>
      </c>
      <c r="I231" s="27">
        <f t="shared" si="130"/>
        <v>1.7453292519943295E-2</v>
      </c>
      <c r="J231" s="27">
        <f t="shared" si="130"/>
        <v>1.7453292519943295E-2</v>
      </c>
      <c r="K231" s="27">
        <f t="shared" si="130"/>
        <v>1.7453292519943295E-2</v>
      </c>
      <c r="L231" s="27">
        <f t="shared" si="130"/>
        <v>1.7453292519943295E-2</v>
      </c>
      <c r="M231" s="27">
        <f t="shared" si="130"/>
        <v>1.7453292519943295E-2</v>
      </c>
      <c r="N231" s="29">
        <f t="shared" si="130"/>
        <v>1.7453292519943295E-2</v>
      </c>
    </row>
    <row r="232" spans="2:15">
      <c r="B232" s="453" t="s">
        <v>120</v>
      </c>
      <c r="C232" s="7">
        <f>'Intensidad y Ángulo incli.'!$AN$23</f>
        <v>17.880000000000003</v>
      </c>
      <c r="D232" s="7">
        <f>'Intensidad y Ángulo incli.'!$AN$23</f>
        <v>17.880000000000003</v>
      </c>
      <c r="E232" s="7">
        <f>'Intensidad y Ángulo incli.'!$AN$23</f>
        <v>17.880000000000003</v>
      </c>
      <c r="F232" s="7">
        <f>'Intensidad y Ángulo incli.'!$AN$23</f>
        <v>17.880000000000003</v>
      </c>
      <c r="G232" s="7">
        <f>'Intensidad y Ángulo incli.'!$AN$23</f>
        <v>17.880000000000003</v>
      </c>
      <c r="H232" s="7">
        <f>'Intensidad y Ángulo incli.'!$AN$23</f>
        <v>17.880000000000003</v>
      </c>
      <c r="I232" s="7">
        <f>'Intensidad y Ángulo incli.'!$AN$23</f>
        <v>17.880000000000003</v>
      </c>
      <c r="J232" s="7">
        <f>'Intensidad y Ángulo incli.'!$AN$23</f>
        <v>17.880000000000003</v>
      </c>
      <c r="K232" s="7">
        <f>'Intensidad y Ángulo incli.'!$AN$23</f>
        <v>17.880000000000003</v>
      </c>
      <c r="L232" s="7">
        <f>'Intensidad y Ángulo incli.'!$AN$23</f>
        <v>17.880000000000003</v>
      </c>
      <c r="M232" s="7">
        <f>'Intensidad y Ángulo incli.'!$AN$23</f>
        <v>17.880000000000003</v>
      </c>
      <c r="N232" s="544">
        <f>'Intensidad y Ángulo incli.'!$AN$23</f>
        <v>17.880000000000003</v>
      </c>
    </row>
    <row r="233" spans="2:15">
      <c r="B233" s="453" t="s">
        <v>121</v>
      </c>
      <c r="C233" s="7">
        <f t="shared" ref="C233:N233" si="131">C232*C231</f>
        <v>0.31206487025658619</v>
      </c>
      <c r="D233" s="7">
        <f t="shared" si="131"/>
        <v>0.31206487025658619</v>
      </c>
      <c r="E233" s="7">
        <f t="shared" si="131"/>
        <v>0.31206487025658619</v>
      </c>
      <c r="F233" s="7">
        <f t="shared" si="131"/>
        <v>0.31206487025658619</v>
      </c>
      <c r="G233" s="7">
        <f t="shared" si="131"/>
        <v>0.31206487025658619</v>
      </c>
      <c r="H233" s="7">
        <f t="shared" si="131"/>
        <v>0.31206487025658619</v>
      </c>
      <c r="I233" s="7">
        <f t="shared" si="131"/>
        <v>0.31206487025658619</v>
      </c>
      <c r="J233" s="7">
        <f t="shared" si="131"/>
        <v>0.31206487025658619</v>
      </c>
      <c r="K233" s="7">
        <f t="shared" si="131"/>
        <v>0.31206487025658619</v>
      </c>
      <c r="L233" s="7">
        <f t="shared" si="131"/>
        <v>0.31206487025658619</v>
      </c>
      <c r="M233" s="7">
        <f t="shared" si="131"/>
        <v>0.31206487025658619</v>
      </c>
      <c r="N233" s="544">
        <f t="shared" si="131"/>
        <v>0.31206487025658619</v>
      </c>
    </row>
    <row r="234" spans="2:15">
      <c r="B234" s="453" t="s">
        <v>122</v>
      </c>
      <c r="C234" s="7">
        <f t="shared" ref="C234:N234" si="132">SIN(C233)</f>
        <v>0.30702442997149199</v>
      </c>
      <c r="D234" s="7">
        <f t="shared" si="132"/>
        <v>0.30702442997149199</v>
      </c>
      <c r="E234" s="7">
        <f t="shared" si="132"/>
        <v>0.30702442997149199</v>
      </c>
      <c r="F234" s="7">
        <f t="shared" si="132"/>
        <v>0.30702442997149199</v>
      </c>
      <c r="G234" s="7">
        <f t="shared" si="132"/>
        <v>0.30702442997149199</v>
      </c>
      <c r="H234" s="7">
        <f t="shared" si="132"/>
        <v>0.30702442997149199</v>
      </c>
      <c r="I234" s="7">
        <f t="shared" si="132"/>
        <v>0.30702442997149199</v>
      </c>
      <c r="J234" s="7">
        <f t="shared" si="132"/>
        <v>0.30702442997149199</v>
      </c>
      <c r="K234" s="7">
        <f t="shared" si="132"/>
        <v>0.30702442997149199</v>
      </c>
      <c r="L234" s="7">
        <f t="shared" si="132"/>
        <v>0.30702442997149199</v>
      </c>
      <c r="M234" s="7">
        <f t="shared" si="132"/>
        <v>0.30702442997149199</v>
      </c>
      <c r="N234" s="544">
        <f t="shared" si="132"/>
        <v>0.30702442997149199</v>
      </c>
    </row>
    <row r="235" spans="2:15">
      <c r="B235" s="453" t="s">
        <v>123</v>
      </c>
      <c r="C235" s="7">
        <f>COS(C233)</f>
        <v>0.95170163360198157</v>
      </c>
      <c r="D235" s="7">
        <f t="shared" ref="D235:N235" si="133">COS(D233)</f>
        <v>0.95170163360198157</v>
      </c>
      <c r="E235" s="7">
        <f t="shared" si="133"/>
        <v>0.95170163360198157</v>
      </c>
      <c r="F235" s="7">
        <f t="shared" si="133"/>
        <v>0.95170163360198157</v>
      </c>
      <c r="G235" s="7">
        <f t="shared" si="133"/>
        <v>0.95170163360198157</v>
      </c>
      <c r="H235" s="7">
        <f t="shared" si="133"/>
        <v>0.95170163360198157</v>
      </c>
      <c r="I235" s="7">
        <f t="shared" si="133"/>
        <v>0.95170163360198157</v>
      </c>
      <c r="J235" s="7">
        <f t="shared" si="133"/>
        <v>0.95170163360198157</v>
      </c>
      <c r="K235" s="7">
        <f t="shared" si="133"/>
        <v>0.95170163360198157</v>
      </c>
      <c r="L235" s="7">
        <f t="shared" si="133"/>
        <v>0.95170163360198157</v>
      </c>
      <c r="M235" s="7">
        <f t="shared" si="133"/>
        <v>0.95170163360198157</v>
      </c>
      <c r="N235" s="544">
        <f t="shared" si="133"/>
        <v>0.95170163360198157</v>
      </c>
    </row>
    <row r="236" spans="2:15">
      <c r="B236" s="453" t="s">
        <v>124</v>
      </c>
      <c r="C236" s="7">
        <f>'Intensidad y Ángulo incli.'!$S$7</f>
        <v>37.880000000000003</v>
      </c>
      <c r="D236" s="7">
        <f t="shared" ref="D236:N236" si="134">C236</f>
        <v>37.880000000000003</v>
      </c>
      <c r="E236" s="7">
        <f t="shared" si="134"/>
        <v>37.880000000000003</v>
      </c>
      <c r="F236" s="7">
        <f t="shared" si="134"/>
        <v>37.880000000000003</v>
      </c>
      <c r="G236" s="7">
        <f t="shared" si="134"/>
        <v>37.880000000000003</v>
      </c>
      <c r="H236" s="7">
        <f t="shared" si="134"/>
        <v>37.880000000000003</v>
      </c>
      <c r="I236" s="7">
        <f t="shared" si="134"/>
        <v>37.880000000000003</v>
      </c>
      <c r="J236" s="7">
        <f t="shared" si="134"/>
        <v>37.880000000000003</v>
      </c>
      <c r="K236" s="7">
        <f t="shared" si="134"/>
        <v>37.880000000000003</v>
      </c>
      <c r="L236" s="7">
        <f t="shared" si="134"/>
        <v>37.880000000000003</v>
      </c>
      <c r="M236" s="7">
        <f t="shared" si="134"/>
        <v>37.880000000000003</v>
      </c>
      <c r="N236" s="544">
        <f t="shared" si="134"/>
        <v>37.880000000000003</v>
      </c>
    </row>
    <row r="237" spans="2:15">
      <c r="B237" s="453" t="s">
        <v>125</v>
      </c>
      <c r="C237" s="7">
        <f t="shared" ref="C237:N237" si="135">C236*C231</f>
        <v>0.66113072065545209</v>
      </c>
      <c r="D237" s="7">
        <f t="shared" si="135"/>
        <v>0.66113072065545209</v>
      </c>
      <c r="E237" s="7">
        <f t="shared" si="135"/>
        <v>0.66113072065545209</v>
      </c>
      <c r="F237" s="7">
        <f t="shared" si="135"/>
        <v>0.66113072065545209</v>
      </c>
      <c r="G237" s="7">
        <f t="shared" si="135"/>
        <v>0.66113072065545209</v>
      </c>
      <c r="H237" s="7">
        <f t="shared" si="135"/>
        <v>0.66113072065545209</v>
      </c>
      <c r="I237" s="7">
        <f t="shared" si="135"/>
        <v>0.66113072065545209</v>
      </c>
      <c r="J237" s="7">
        <f t="shared" si="135"/>
        <v>0.66113072065545209</v>
      </c>
      <c r="K237" s="7">
        <f t="shared" si="135"/>
        <v>0.66113072065545209</v>
      </c>
      <c r="L237" s="7">
        <f t="shared" si="135"/>
        <v>0.66113072065545209</v>
      </c>
      <c r="M237" s="7">
        <f t="shared" si="135"/>
        <v>0.66113072065545209</v>
      </c>
      <c r="N237" s="544">
        <f t="shared" si="135"/>
        <v>0.66113072065545209</v>
      </c>
    </row>
    <row r="238" spans="2:15">
      <c r="B238" s="453" t="s">
        <v>111</v>
      </c>
      <c r="C238" s="7">
        <f t="shared" ref="C238:N238" si="136">SIN(C237)</f>
        <v>0.6140097203730337</v>
      </c>
      <c r="D238" s="7">
        <f t="shared" si="136"/>
        <v>0.6140097203730337</v>
      </c>
      <c r="E238" s="7">
        <f t="shared" si="136"/>
        <v>0.6140097203730337</v>
      </c>
      <c r="F238" s="7">
        <f t="shared" si="136"/>
        <v>0.6140097203730337</v>
      </c>
      <c r="G238" s="7">
        <f t="shared" si="136"/>
        <v>0.6140097203730337</v>
      </c>
      <c r="H238" s="7">
        <f t="shared" si="136"/>
        <v>0.6140097203730337</v>
      </c>
      <c r="I238" s="7">
        <f t="shared" si="136"/>
        <v>0.6140097203730337</v>
      </c>
      <c r="J238" s="7">
        <f t="shared" si="136"/>
        <v>0.6140097203730337</v>
      </c>
      <c r="K238" s="7">
        <f t="shared" si="136"/>
        <v>0.6140097203730337</v>
      </c>
      <c r="L238" s="7">
        <f t="shared" si="136"/>
        <v>0.6140097203730337</v>
      </c>
      <c r="M238" s="7">
        <f t="shared" si="136"/>
        <v>0.6140097203730337</v>
      </c>
      <c r="N238" s="544">
        <f t="shared" si="136"/>
        <v>0.6140097203730337</v>
      </c>
    </row>
    <row r="239" spans="2:15">
      <c r="B239" s="453" t="s">
        <v>112</v>
      </c>
      <c r="C239" s="7">
        <f>COS(C237)</f>
        <v>0.78929846274234494</v>
      </c>
      <c r="D239" s="7">
        <f t="shared" ref="D239:N239" si="137">COS(D237)</f>
        <v>0.78929846274234494</v>
      </c>
      <c r="E239" s="7">
        <f t="shared" si="137"/>
        <v>0.78929846274234494</v>
      </c>
      <c r="F239" s="7">
        <f t="shared" si="137"/>
        <v>0.78929846274234494</v>
      </c>
      <c r="G239" s="7">
        <f t="shared" si="137"/>
        <v>0.78929846274234494</v>
      </c>
      <c r="H239" s="7">
        <f t="shared" si="137"/>
        <v>0.78929846274234494</v>
      </c>
      <c r="I239" s="7">
        <f t="shared" si="137"/>
        <v>0.78929846274234494</v>
      </c>
      <c r="J239" s="7">
        <f t="shared" si="137"/>
        <v>0.78929846274234494</v>
      </c>
      <c r="K239" s="7">
        <f t="shared" si="137"/>
        <v>0.78929846274234494</v>
      </c>
      <c r="L239" s="7">
        <f t="shared" si="137"/>
        <v>0.78929846274234494</v>
      </c>
      <c r="M239" s="7">
        <f t="shared" si="137"/>
        <v>0.78929846274234494</v>
      </c>
      <c r="N239" s="544">
        <f t="shared" si="137"/>
        <v>0.78929846274234494</v>
      </c>
    </row>
    <row r="240" spans="2:15">
      <c r="B240" s="453" t="s">
        <v>113</v>
      </c>
      <c r="C240" s="7">
        <f>TAN(C237)</f>
        <v>0.77791830258950889</v>
      </c>
      <c r="D240" s="7">
        <f t="shared" ref="D240:N240" si="138">TAN(D237)</f>
        <v>0.77791830258950889</v>
      </c>
      <c r="E240" s="7">
        <f t="shared" si="138"/>
        <v>0.77791830258950889</v>
      </c>
      <c r="F240" s="7">
        <f t="shared" si="138"/>
        <v>0.77791830258950889</v>
      </c>
      <c r="G240" s="7">
        <f t="shared" si="138"/>
        <v>0.77791830258950889</v>
      </c>
      <c r="H240" s="7">
        <f t="shared" si="138"/>
        <v>0.77791830258950889</v>
      </c>
      <c r="I240" s="7">
        <f t="shared" si="138"/>
        <v>0.77791830258950889</v>
      </c>
      <c r="J240" s="7">
        <f t="shared" si="138"/>
        <v>0.77791830258950889</v>
      </c>
      <c r="K240" s="7">
        <f t="shared" si="138"/>
        <v>0.77791830258950889</v>
      </c>
      <c r="L240" s="7">
        <f t="shared" si="138"/>
        <v>0.77791830258950889</v>
      </c>
      <c r="M240" s="7">
        <f t="shared" si="138"/>
        <v>0.77791830258950889</v>
      </c>
      <c r="N240" s="544">
        <f t="shared" si="138"/>
        <v>0.77791830258950889</v>
      </c>
    </row>
    <row r="241" spans="2:14">
      <c r="B241" s="453" t="s">
        <v>126</v>
      </c>
      <c r="C241" s="7">
        <f>(C236-C232)*C231</f>
        <v>0.3490658503988659</v>
      </c>
      <c r="D241" s="7">
        <f t="shared" ref="D241:N241" si="139">(D236-D232)*D231</f>
        <v>0.3490658503988659</v>
      </c>
      <c r="E241" s="7">
        <f t="shared" si="139"/>
        <v>0.3490658503988659</v>
      </c>
      <c r="F241" s="7">
        <f t="shared" si="139"/>
        <v>0.3490658503988659</v>
      </c>
      <c r="G241" s="7">
        <f t="shared" si="139"/>
        <v>0.3490658503988659</v>
      </c>
      <c r="H241" s="7">
        <f t="shared" si="139"/>
        <v>0.3490658503988659</v>
      </c>
      <c r="I241" s="7">
        <f t="shared" si="139"/>
        <v>0.3490658503988659</v>
      </c>
      <c r="J241" s="7">
        <f t="shared" si="139"/>
        <v>0.3490658503988659</v>
      </c>
      <c r="K241" s="7">
        <f t="shared" si="139"/>
        <v>0.3490658503988659</v>
      </c>
      <c r="L241" s="7">
        <f t="shared" si="139"/>
        <v>0.3490658503988659</v>
      </c>
      <c r="M241" s="7">
        <f t="shared" si="139"/>
        <v>0.3490658503988659</v>
      </c>
      <c r="N241" s="544">
        <f t="shared" si="139"/>
        <v>0.3490658503988659</v>
      </c>
    </row>
    <row r="242" spans="2:14">
      <c r="B242" s="28" t="s">
        <v>114</v>
      </c>
      <c r="C242" s="7">
        <f t="shared" ref="C242:N242" si="140">SIN(C241)</f>
        <v>0.34202014332566871</v>
      </c>
      <c r="D242" s="7">
        <f t="shared" si="140"/>
        <v>0.34202014332566871</v>
      </c>
      <c r="E242" s="7">
        <f t="shared" si="140"/>
        <v>0.34202014332566871</v>
      </c>
      <c r="F242" s="7">
        <f t="shared" si="140"/>
        <v>0.34202014332566871</v>
      </c>
      <c r="G242" s="7">
        <f t="shared" si="140"/>
        <v>0.34202014332566871</v>
      </c>
      <c r="H242" s="7">
        <f t="shared" si="140"/>
        <v>0.34202014332566871</v>
      </c>
      <c r="I242" s="7">
        <f t="shared" si="140"/>
        <v>0.34202014332566871</v>
      </c>
      <c r="J242" s="7">
        <f t="shared" si="140"/>
        <v>0.34202014332566871</v>
      </c>
      <c r="K242" s="7">
        <f t="shared" si="140"/>
        <v>0.34202014332566871</v>
      </c>
      <c r="L242" s="7">
        <f t="shared" si="140"/>
        <v>0.34202014332566871</v>
      </c>
      <c r="M242" s="7">
        <f t="shared" si="140"/>
        <v>0.34202014332566871</v>
      </c>
      <c r="N242" s="544">
        <f t="shared" si="140"/>
        <v>0.34202014332566871</v>
      </c>
    </row>
    <row r="243" spans="2:14">
      <c r="B243" s="28" t="s">
        <v>115</v>
      </c>
      <c r="C243" s="7">
        <f>COS(C241)</f>
        <v>0.93969262078590843</v>
      </c>
      <c r="D243" s="7">
        <f t="shared" ref="D243:N243" si="141">COS(D241)</f>
        <v>0.93969262078590843</v>
      </c>
      <c r="E243" s="7">
        <f t="shared" si="141"/>
        <v>0.93969262078590843</v>
      </c>
      <c r="F243" s="7">
        <f t="shared" si="141"/>
        <v>0.93969262078590843</v>
      </c>
      <c r="G243" s="7">
        <f t="shared" si="141"/>
        <v>0.93969262078590843</v>
      </c>
      <c r="H243" s="7">
        <f t="shared" si="141"/>
        <v>0.93969262078590843</v>
      </c>
      <c r="I243" s="7">
        <f t="shared" si="141"/>
        <v>0.93969262078590843</v>
      </c>
      <c r="J243" s="7">
        <f t="shared" si="141"/>
        <v>0.93969262078590843</v>
      </c>
      <c r="K243" s="7">
        <f t="shared" si="141"/>
        <v>0.93969262078590843</v>
      </c>
      <c r="L243" s="7">
        <f t="shared" si="141"/>
        <v>0.93969262078590843</v>
      </c>
      <c r="M243" s="7">
        <f t="shared" si="141"/>
        <v>0.93969262078590843</v>
      </c>
      <c r="N243" s="544">
        <f t="shared" si="141"/>
        <v>0.93969262078590843</v>
      </c>
    </row>
    <row r="244" spans="2:14">
      <c r="B244" s="28" t="s">
        <v>116</v>
      </c>
      <c r="C244" s="7">
        <f>TAN(C241)</f>
        <v>0.36397023426620234</v>
      </c>
      <c r="D244" s="7">
        <f t="shared" ref="D244:N244" si="142">TAN(D241)</f>
        <v>0.36397023426620234</v>
      </c>
      <c r="E244" s="7">
        <f t="shared" si="142"/>
        <v>0.36397023426620234</v>
      </c>
      <c r="F244" s="7">
        <f t="shared" si="142"/>
        <v>0.36397023426620234</v>
      </c>
      <c r="G244" s="7">
        <f t="shared" si="142"/>
        <v>0.36397023426620234</v>
      </c>
      <c r="H244" s="7">
        <f t="shared" si="142"/>
        <v>0.36397023426620234</v>
      </c>
      <c r="I244" s="7">
        <f t="shared" si="142"/>
        <v>0.36397023426620234</v>
      </c>
      <c r="J244" s="7">
        <f t="shared" si="142"/>
        <v>0.36397023426620234</v>
      </c>
      <c r="K244" s="7">
        <f t="shared" si="142"/>
        <v>0.36397023426620234</v>
      </c>
      <c r="L244" s="7">
        <f t="shared" si="142"/>
        <v>0.36397023426620234</v>
      </c>
      <c r="M244" s="7">
        <f t="shared" si="142"/>
        <v>0.36397023426620234</v>
      </c>
      <c r="N244" s="544">
        <f t="shared" si="142"/>
        <v>0.36397023426620234</v>
      </c>
    </row>
    <row r="245" spans="2:14">
      <c r="B245" s="454" t="s">
        <v>127</v>
      </c>
      <c r="C245" s="7">
        <f>COS(37.5*C231)</f>
        <v>0.79335334029123517</v>
      </c>
      <c r="D245" s="7">
        <f t="shared" ref="D245:N245" si="143">COS(37.5*D231)</f>
        <v>0.79335334029123517</v>
      </c>
      <c r="E245" s="7">
        <f t="shared" si="143"/>
        <v>0.79335334029123517</v>
      </c>
      <c r="F245" s="7">
        <f t="shared" si="143"/>
        <v>0.79335334029123517</v>
      </c>
      <c r="G245" s="7">
        <f t="shared" si="143"/>
        <v>0.79335334029123517</v>
      </c>
      <c r="H245" s="7">
        <f t="shared" si="143"/>
        <v>0.79335334029123517</v>
      </c>
      <c r="I245" s="7">
        <f t="shared" si="143"/>
        <v>0.79335334029123517</v>
      </c>
      <c r="J245" s="7">
        <f t="shared" si="143"/>
        <v>0.79335334029123517</v>
      </c>
      <c r="K245" s="7">
        <f t="shared" si="143"/>
        <v>0.79335334029123517</v>
      </c>
      <c r="L245" s="7">
        <f t="shared" si="143"/>
        <v>0.79335334029123517</v>
      </c>
      <c r="M245" s="7">
        <f t="shared" si="143"/>
        <v>0.79335334029123517</v>
      </c>
      <c r="N245" s="544">
        <f t="shared" si="143"/>
        <v>0.79335334029123517</v>
      </c>
    </row>
    <row r="246" spans="2:14">
      <c r="B246" s="454" t="s">
        <v>128</v>
      </c>
      <c r="C246" s="7">
        <f>23.45*C231</f>
        <v>0.40927970959267029</v>
      </c>
      <c r="D246" s="7">
        <f t="shared" ref="D246:N246" si="144">23.45*D231</f>
        <v>0.40927970959267029</v>
      </c>
      <c r="E246" s="7">
        <f t="shared" si="144"/>
        <v>0.40927970959267029</v>
      </c>
      <c r="F246" s="7">
        <f t="shared" si="144"/>
        <v>0.40927970959267029</v>
      </c>
      <c r="G246" s="7">
        <f t="shared" si="144"/>
        <v>0.40927970959267029</v>
      </c>
      <c r="H246" s="7">
        <f t="shared" si="144"/>
        <v>0.40927970959267029</v>
      </c>
      <c r="I246" s="7">
        <f t="shared" si="144"/>
        <v>0.40927970959267029</v>
      </c>
      <c r="J246" s="7">
        <f t="shared" si="144"/>
        <v>0.40927970959267029</v>
      </c>
      <c r="K246" s="7">
        <f t="shared" si="144"/>
        <v>0.40927970959267029</v>
      </c>
      <c r="L246" s="7">
        <f t="shared" si="144"/>
        <v>0.40927970959267029</v>
      </c>
      <c r="M246" s="7">
        <f t="shared" si="144"/>
        <v>0.40927970959267029</v>
      </c>
      <c r="N246" s="544">
        <f t="shared" si="144"/>
        <v>0.40927970959267029</v>
      </c>
    </row>
    <row r="247" spans="2:14">
      <c r="B247" s="13" t="s">
        <v>101</v>
      </c>
      <c r="C247" s="1">
        <v>31</v>
      </c>
      <c r="D247" s="1">
        <v>28</v>
      </c>
      <c r="E247" s="1">
        <v>31</v>
      </c>
      <c r="F247" s="1">
        <v>30</v>
      </c>
      <c r="G247" s="1">
        <v>31</v>
      </c>
      <c r="H247" s="1">
        <v>30</v>
      </c>
      <c r="I247" s="1">
        <v>31</v>
      </c>
      <c r="J247" s="1">
        <v>31</v>
      </c>
      <c r="K247" s="1">
        <v>30</v>
      </c>
      <c r="L247" s="1">
        <v>31</v>
      </c>
      <c r="M247" s="1">
        <v>30</v>
      </c>
      <c r="N247" s="2">
        <v>31</v>
      </c>
    </row>
    <row r="248" spans="2:14">
      <c r="B248" s="454" t="s">
        <v>117</v>
      </c>
      <c r="C248" s="7">
        <f>1353*3.6</f>
        <v>4870.8</v>
      </c>
      <c r="D248" s="7">
        <f t="shared" ref="D248:N248" si="145">1353*3.6</f>
        <v>4870.8</v>
      </c>
      <c r="E248" s="7">
        <f t="shared" si="145"/>
        <v>4870.8</v>
      </c>
      <c r="F248" s="7">
        <f t="shared" si="145"/>
        <v>4870.8</v>
      </c>
      <c r="G248" s="7">
        <f t="shared" si="145"/>
        <v>4870.8</v>
      </c>
      <c r="H248" s="7">
        <f t="shared" si="145"/>
        <v>4870.8</v>
      </c>
      <c r="I248" s="7">
        <f t="shared" si="145"/>
        <v>4870.8</v>
      </c>
      <c r="J248" s="7">
        <f t="shared" si="145"/>
        <v>4870.8</v>
      </c>
      <c r="K248" s="7">
        <f t="shared" si="145"/>
        <v>4870.8</v>
      </c>
      <c r="L248" s="7">
        <f t="shared" si="145"/>
        <v>4870.8</v>
      </c>
      <c r="M248" s="7">
        <f t="shared" si="145"/>
        <v>4870.8</v>
      </c>
      <c r="N248" s="544">
        <f t="shared" si="145"/>
        <v>4870.8</v>
      </c>
    </row>
    <row r="249" spans="2:14" ht="13.5" thickBot="1">
      <c r="B249" s="28" t="s">
        <v>118</v>
      </c>
      <c r="C249" s="7">
        <f t="shared" ref="C249:N249" si="146">(24*C248)/PI()</f>
        <v>37210.171046976189</v>
      </c>
      <c r="D249" s="7">
        <f t="shared" si="146"/>
        <v>37210.171046976189</v>
      </c>
      <c r="E249" s="7">
        <f t="shared" si="146"/>
        <v>37210.171046976189</v>
      </c>
      <c r="F249" s="7">
        <f t="shared" si="146"/>
        <v>37210.171046976189</v>
      </c>
      <c r="G249" s="7">
        <f t="shared" si="146"/>
        <v>37210.171046976189</v>
      </c>
      <c r="H249" s="7">
        <f t="shared" si="146"/>
        <v>37210.171046976189</v>
      </c>
      <c r="I249" s="7">
        <f t="shared" si="146"/>
        <v>37210.171046976189</v>
      </c>
      <c r="J249" s="7">
        <f t="shared" si="146"/>
        <v>37210.171046976189</v>
      </c>
      <c r="K249" s="7">
        <f t="shared" si="146"/>
        <v>37210.171046976189</v>
      </c>
      <c r="L249" s="7">
        <f t="shared" si="146"/>
        <v>37210.171046976189</v>
      </c>
      <c r="M249" s="7">
        <f t="shared" si="146"/>
        <v>37210.171046976189</v>
      </c>
      <c r="N249" s="545">
        <f t="shared" si="146"/>
        <v>37210.171046976189</v>
      </c>
    </row>
    <row r="250" spans="2:14">
      <c r="B250" s="26" t="s">
        <v>101</v>
      </c>
      <c r="C250" s="27">
        <v>15</v>
      </c>
      <c r="D250" s="27">
        <v>46</v>
      </c>
      <c r="E250" s="27">
        <v>74</v>
      </c>
      <c r="F250" s="27">
        <v>105</v>
      </c>
      <c r="G250" s="27">
        <v>135</v>
      </c>
      <c r="H250" s="27">
        <v>166</v>
      </c>
      <c r="I250" s="27">
        <v>196</v>
      </c>
      <c r="J250" s="27">
        <v>227</v>
      </c>
      <c r="K250" s="27">
        <v>258</v>
      </c>
      <c r="L250" s="27">
        <v>270</v>
      </c>
      <c r="M250" s="27">
        <v>319</v>
      </c>
      <c r="N250" s="29">
        <v>349</v>
      </c>
    </row>
    <row r="251" spans="2:14">
      <c r="B251" s="454" t="s">
        <v>129</v>
      </c>
      <c r="C251" s="7">
        <f>(360*C231)/365</f>
        <v>1.7214206321039961E-2</v>
      </c>
      <c r="D251" s="7">
        <f t="shared" ref="D251:N251" si="147">(360*D231)/365</f>
        <v>1.7214206321039961E-2</v>
      </c>
      <c r="E251" s="7">
        <f t="shared" si="147"/>
        <v>1.7214206321039961E-2</v>
      </c>
      <c r="F251" s="7">
        <f t="shared" si="147"/>
        <v>1.7214206321039961E-2</v>
      </c>
      <c r="G251" s="7">
        <f t="shared" si="147"/>
        <v>1.7214206321039961E-2</v>
      </c>
      <c r="H251" s="7">
        <f t="shared" si="147"/>
        <v>1.7214206321039961E-2</v>
      </c>
      <c r="I251" s="7">
        <f t="shared" si="147"/>
        <v>1.7214206321039961E-2</v>
      </c>
      <c r="J251" s="7">
        <f t="shared" si="147"/>
        <v>1.7214206321039961E-2</v>
      </c>
      <c r="K251" s="7">
        <f t="shared" si="147"/>
        <v>1.7214206321039961E-2</v>
      </c>
      <c r="L251" s="7">
        <f t="shared" si="147"/>
        <v>1.7214206321039961E-2</v>
      </c>
      <c r="M251" s="7">
        <f t="shared" si="147"/>
        <v>1.7214206321039961E-2</v>
      </c>
      <c r="N251" s="544">
        <f t="shared" si="147"/>
        <v>1.7214206321039961E-2</v>
      </c>
    </row>
    <row r="252" spans="2:14">
      <c r="B252" s="454" t="s">
        <v>130</v>
      </c>
      <c r="C252" s="7">
        <f t="shared" ref="C252:N252" si="148">C246*SIN(C251*(284+C250))</f>
        <v>-0.37122234990040354</v>
      </c>
      <c r="D252" s="7">
        <f t="shared" si="148"/>
        <v>-0.23193953024048489</v>
      </c>
      <c r="E252" s="7">
        <f t="shared" si="148"/>
        <v>-4.9198713707110125E-2</v>
      </c>
      <c r="F252" s="7">
        <f t="shared" si="148"/>
        <v>0.16432088762716554</v>
      </c>
      <c r="G252" s="7">
        <f t="shared" si="148"/>
        <v>0.32798083344699769</v>
      </c>
      <c r="H252" s="7">
        <f t="shared" si="148"/>
        <v>0.40691321620538912</v>
      </c>
      <c r="I252" s="7">
        <f t="shared" si="148"/>
        <v>0.37554836000057829</v>
      </c>
      <c r="J252" s="7">
        <f t="shared" si="148"/>
        <v>0.24056857736111795</v>
      </c>
      <c r="K252" s="7">
        <f t="shared" si="148"/>
        <v>3.8691973511018649E-2</v>
      </c>
      <c r="L252" s="7">
        <f t="shared" si="148"/>
        <v>-4.5699766008172903E-2</v>
      </c>
      <c r="M252" s="7">
        <f t="shared" si="148"/>
        <v>-0.33419245656714902</v>
      </c>
      <c r="N252" s="544">
        <f t="shared" si="148"/>
        <v>-0.40727641274141724</v>
      </c>
    </row>
    <row r="253" spans="2:14">
      <c r="B253" s="28" t="s">
        <v>132</v>
      </c>
      <c r="C253" s="7">
        <f t="shared" ref="C253:N253" si="149">SIN(C252)</f>
        <v>-0.36275479176733588</v>
      </c>
      <c r="D253" s="7">
        <f t="shared" si="149"/>
        <v>-0.22986554896822295</v>
      </c>
      <c r="E253" s="7">
        <f t="shared" si="149"/>
        <v>-4.9178868417837161E-2</v>
      </c>
      <c r="F253" s="7">
        <f t="shared" si="149"/>
        <v>0.16358240425600395</v>
      </c>
      <c r="G253" s="7">
        <f t="shared" si="149"/>
        <v>0.32213215206816698</v>
      </c>
      <c r="H253" s="7">
        <f t="shared" si="149"/>
        <v>0.39577647976650848</v>
      </c>
      <c r="I253" s="7">
        <f t="shared" si="149"/>
        <v>0.36678272715173194</v>
      </c>
      <c r="J253" s="7">
        <f t="shared" si="149"/>
        <v>0.23825486875759558</v>
      </c>
      <c r="K253" s="7">
        <f t="shared" si="149"/>
        <v>3.868232014248444E-2</v>
      </c>
      <c r="L253" s="7">
        <f t="shared" si="149"/>
        <v>-4.5683860581339865E-2</v>
      </c>
      <c r="M253" s="7">
        <f t="shared" si="149"/>
        <v>-0.32800641041381234</v>
      </c>
      <c r="N253" s="544">
        <f t="shared" si="149"/>
        <v>-0.3961099940583282</v>
      </c>
    </row>
    <row r="254" spans="2:14">
      <c r="B254" s="28" t="s">
        <v>133</v>
      </c>
      <c r="C254" s="7">
        <f>COS(C252)</f>
        <v>0.93188462861549382</v>
      </c>
      <c r="D254" s="7">
        <f t="shared" ref="D254:N254" si="150">COS(D252)</f>
        <v>0.97322239462393045</v>
      </c>
      <c r="E254" s="7">
        <f t="shared" si="150"/>
        <v>0.99878998738530667</v>
      </c>
      <c r="F254" s="7">
        <f t="shared" si="150"/>
        <v>0.9865296736631014</v>
      </c>
      <c r="G254" s="7">
        <f t="shared" si="150"/>
        <v>0.94669471140591643</v>
      </c>
      <c r="H254" s="7">
        <f t="shared" si="150"/>
        <v>0.91834687240912982</v>
      </c>
      <c r="I254" s="7">
        <f t="shared" si="150"/>
        <v>0.93030663281691062</v>
      </c>
      <c r="J254" s="7">
        <f t="shared" si="150"/>
        <v>0.97120266552007617</v>
      </c>
      <c r="K254" s="7">
        <f t="shared" si="150"/>
        <v>0.99925155897221118</v>
      </c>
      <c r="L254" s="7">
        <f t="shared" si="150"/>
        <v>0.99895594741829563</v>
      </c>
      <c r="M254" s="7">
        <f t="shared" si="150"/>
        <v>0.94467549705041343</v>
      </c>
      <c r="N254" s="544">
        <f t="shared" si="150"/>
        <v>0.91820306719543865</v>
      </c>
    </row>
    <row r="255" spans="2:14">
      <c r="B255" s="454" t="s">
        <v>134</v>
      </c>
      <c r="C255" s="7">
        <f>-C240*TAN(C252)</f>
        <v>0.30282030972773238</v>
      </c>
      <c r="D255" s="7">
        <f t="shared" ref="D255:N255" si="151">-D240*TAN(D252)</f>
        <v>0.18373664505147702</v>
      </c>
      <c r="E255" s="7">
        <f t="shared" si="151"/>
        <v>3.8303489548417051E-2</v>
      </c>
      <c r="F255" s="7">
        <f t="shared" si="151"/>
        <v>-0.12899130117377336</v>
      </c>
      <c r="G255" s="7">
        <f t="shared" si="151"/>
        <v>-0.26470254235837481</v>
      </c>
      <c r="H255" s="7">
        <f t="shared" si="151"/>
        <v>-0.33525650992542388</v>
      </c>
      <c r="I255" s="7">
        <f t="shared" si="151"/>
        <v>-0.30670209849098234</v>
      </c>
      <c r="J255" s="7">
        <f t="shared" si="151"/>
        <v>-0.19083846211268832</v>
      </c>
      <c r="K255" s="7">
        <f t="shared" si="151"/>
        <v>-3.0114223545887216E-2</v>
      </c>
      <c r="L255" s="7">
        <f t="shared" si="151"/>
        <v>3.557545392368601E-2</v>
      </c>
      <c r="M255" s="7">
        <f t="shared" si="151"/>
        <v>0.27010565090794747</v>
      </c>
      <c r="N255" s="544">
        <f t="shared" si="151"/>
        <v>0.33559157579137944</v>
      </c>
    </row>
    <row r="256" spans="2:14">
      <c r="B256" s="454" t="s">
        <v>134</v>
      </c>
      <c r="C256" s="7">
        <f t="shared" ref="C256:N256" si="152">ATAN(SQRT(1-C255^2)/C255)/C231</f>
        <v>72.372923526477962</v>
      </c>
      <c r="D256" s="7">
        <f t="shared" si="152"/>
        <v>79.412515035884255</v>
      </c>
      <c r="E256" s="7">
        <f t="shared" si="152"/>
        <v>87.804834709481483</v>
      </c>
      <c r="F256" s="7">
        <f t="shared" si="152"/>
        <v>-82.588692631592835</v>
      </c>
      <c r="G256" s="7">
        <f t="shared" si="152"/>
        <v>-74.650721429230288</v>
      </c>
      <c r="H256" s="7">
        <f t="shared" si="152"/>
        <v>-70.411863069271121</v>
      </c>
      <c r="I256" s="7">
        <f t="shared" si="152"/>
        <v>-72.13940442708008</v>
      </c>
      <c r="J256" s="7">
        <f t="shared" si="152"/>
        <v>-78.998280075601585</v>
      </c>
      <c r="K256" s="7">
        <f t="shared" si="152"/>
        <v>-88.274321193752712</v>
      </c>
      <c r="L256" s="7">
        <f t="shared" si="152"/>
        <v>87.961246436124298</v>
      </c>
      <c r="M256" s="7">
        <f t="shared" si="152"/>
        <v>74.329446209462077</v>
      </c>
      <c r="N256" s="544">
        <f t="shared" si="152"/>
        <v>70.39148463022461</v>
      </c>
    </row>
    <row r="257" spans="2:14">
      <c r="B257" s="454" t="s">
        <v>134</v>
      </c>
      <c r="C257" s="7">
        <f t="shared" ref="C257:N257" si="153">IF(C256&lt;0,C256+180,C256)</f>
        <v>72.372923526477962</v>
      </c>
      <c r="D257" s="7">
        <f t="shared" si="153"/>
        <v>79.412515035884255</v>
      </c>
      <c r="E257" s="7">
        <f t="shared" si="153"/>
        <v>87.804834709481483</v>
      </c>
      <c r="F257" s="7">
        <f t="shared" si="153"/>
        <v>97.411307368407165</v>
      </c>
      <c r="G257" s="7">
        <f t="shared" si="153"/>
        <v>105.34927857076971</v>
      </c>
      <c r="H257" s="7">
        <f t="shared" si="153"/>
        <v>109.58813693072888</v>
      </c>
      <c r="I257" s="7">
        <f t="shared" si="153"/>
        <v>107.86059557291992</v>
      </c>
      <c r="J257" s="7">
        <f t="shared" si="153"/>
        <v>101.00171992439842</v>
      </c>
      <c r="K257" s="7">
        <f t="shared" si="153"/>
        <v>91.725678806247288</v>
      </c>
      <c r="L257" s="7">
        <f t="shared" si="153"/>
        <v>87.961246436124298</v>
      </c>
      <c r="M257" s="7">
        <f t="shared" si="153"/>
        <v>74.329446209462077</v>
      </c>
      <c r="N257" s="544">
        <f t="shared" si="153"/>
        <v>70.39148463022461</v>
      </c>
    </row>
    <row r="258" spans="2:14">
      <c r="B258" s="454" t="s">
        <v>142</v>
      </c>
      <c r="C258" s="7">
        <f t="shared" ref="C258:N258" si="154">C257*C231</f>
        <v>1.2631458048311059</v>
      </c>
      <c r="D258" s="7">
        <f t="shared" si="154"/>
        <v>1.3860098546656832</v>
      </c>
      <c r="E258" s="7">
        <f t="shared" si="154"/>
        <v>1.5324834648498507</v>
      </c>
      <c r="F258" s="7">
        <f t="shared" si="154"/>
        <v>1.7001480422509181</v>
      </c>
      <c r="G258" s="7">
        <f t="shared" si="154"/>
        <v>1.8386917756606376</v>
      </c>
      <c r="H258" s="7">
        <f t="shared" si="154"/>
        <v>1.912673810567612</v>
      </c>
      <c r="I258" s="7">
        <f t="shared" si="154"/>
        <v>1.8825225259094722</v>
      </c>
      <c r="J258" s="7">
        <f t="shared" si="154"/>
        <v>1.7628125628579105</v>
      </c>
      <c r="K258" s="7">
        <f t="shared" si="154"/>
        <v>1.6009151037957972</v>
      </c>
      <c r="L258" s="7">
        <f t="shared" si="154"/>
        <v>1.5352133644684971</v>
      </c>
      <c r="M258" s="7">
        <f t="shared" si="154"/>
        <v>1.2972935675391319</v>
      </c>
      <c r="N258" s="544">
        <f t="shared" si="154"/>
        <v>1.2285631721644026</v>
      </c>
    </row>
    <row r="259" spans="2:14">
      <c r="B259" s="28" t="s">
        <v>135</v>
      </c>
      <c r="C259" s="7">
        <f>-C244*TAN(C252)</f>
        <v>0.14168271745924738</v>
      </c>
      <c r="D259" s="7">
        <f t="shared" ref="D259:N259" si="155">-D244*TAN(D252)</f>
        <v>8.5966186320673973E-2</v>
      </c>
      <c r="E259" s="7">
        <f t="shared" si="155"/>
        <v>1.7921329293504144E-2</v>
      </c>
      <c r="F259" s="7">
        <f t="shared" si="155"/>
        <v>-6.0352088323720222E-2</v>
      </c>
      <c r="G259" s="7">
        <f t="shared" si="155"/>
        <v>-0.1238482833381485</v>
      </c>
      <c r="H259" s="7">
        <f t="shared" si="155"/>
        <v>-0.15685887586220618</v>
      </c>
      <c r="I259" s="7">
        <f t="shared" si="155"/>
        <v>-0.14349891790192745</v>
      </c>
      <c r="J259" s="7">
        <f t="shared" si="155"/>
        <v>-8.9288964574997631E-2</v>
      </c>
      <c r="K259" s="7">
        <f t="shared" si="155"/>
        <v>-1.4089758477536525E-2</v>
      </c>
      <c r="L259" s="7">
        <f t="shared" si="155"/>
        <v>1.6644943634348562E-2</v>
      </c>
      <c r="M259" s="7">
        <f t="shared" si="155"/>
        <v>0.12637627461693371</v>
      </c>
      <c r="N259" s="544">
        <f t="shared" si="155"/>
        <v>0.15701564554010231</v>
      </c>
    </row>
    <row r="260" spans="2:14">
      <c r="B260" s="28" t="s">
        <v>135</v>
      </c>
      <c r="C260" s="7">
        <f t="shared" ref="C260:N260" si="156">ATAN(SQRT(1-C259^2)/C259)/C231</f>
        <v>81.854770432157466</v>
      </c>
      <c r="D260" s="7">
        <f t="shared" si="156"/>
        <v>85.068413352619004</v>
      </c>
      <c r="E260" s="7">
        <f t="shared" si="156"/>
        <v>88.97312849580301</v>
      </c>
      <c r="F260" s="7">
        <f t="shared" si="156"/>
        <v>-86.539977432806523</v>
      </c>
      <c r="G260" s="7">
        <f t="shared" si="156"/>
        <v>-82.885749530927555</v>
      </c>
      <c r="H260" s="7">
        <f t="shared" si="156"/>
        <v>-80.975379098683959</v>
      </c>
      <c r="I260" s="7">
        <f t="shared" si="156"/>
        <v>-81.749635498635953</v>
      </c>
      <c r="J260" s="7">
        <f t="shared" si="156"/>
        <v>-84.877296925567208</v>
      </c>
      <c r="K260" s="7">
        <f t="shared" si="156"/>
        <v>-89.19268959199141</v>
      </c>
      <c r="L260" s="7">
        <f t="shared" si="156"/>
        <v>89.046270936962259</v>
      </c>
      <c r="M260" s="7">
        <f t="shared" si="156"/>
        <v>82.739759152605743</v>
      </c>
      <c r="N260" s="544">
        <f t="shared" si="156"/>
        <v>80.966284158499988</v>
      </c>
    </row>
    <row r="261" spans="2:14">
      <c r="B261" s="28" t="s">
        <v>135</v>
      </c>
      <c r="C261" s="7">
        <f t="shared" ref="C261:N261" si="157">IF(C260&lt;0,C260+180,C260)</f>
        <v>81.854770432157466</v>
      </c>
      <c r="D261" s="7">
        <f t="shared" si="157"/>
        <v>85.068413352619004</v>
      </c>
      <c r="E261" s="7">
        <f t="shared" si="157"/>
        <v>88.97312849580301</v>
      </c>
      <c r="F261" s="7">
        <f t="shared" si="157"/>
        <v>93.460022567193477</v>
      </c>
      <c r="G261" s="7">
        <f t="shared" si="157"/>
        <v>97.114250469072445</v>
      </c>
      <c r="H261" s="7">
        <f t="shared" si="157"/>
        <v>99.024620901316041</v>
      </c>
      <c r="I261" s="7">
        <f t="shared" si="157"/>
        <v>98.250364501364047</v>
      </c>
      <c r="J261" s="7">
        <f t="shared" si="157"/>
        <v>95.122703074432792</v>
      </c>
      <c r="K261" s="7">
        <f t="shared" si="157"/>
        <v>90.80731040800859</v>
      </c>
      <c r="L261" s="7">
        <f t="shared" si="157"/>
        <v>89.046270936962259</v>
      </c>
      <c r="M261" s="7">
        <f t="shared" si="157"/>
        <v>82.739759152605743</v>
      </c>
      <c r="N261" s="544">
        <f t="shared" si="157"/>
        <v>80.966284158499988</v>
      </c>
    </row>
    <row r="262" spans="2:14">
      <c r="B262" s="28" t="s">
        <v>136</v>
      </c>
      <c r="C262" s="7">
        <f t="shared" ref="C262:N262" si="158">C261*C231</f>
        <v>1.4286352525052495</v>
      </c>
      <c r="D262" s="7">
        <f t="shared" si="158"/>
        <v>1.4847239024507095</v>
      </c>
      <c r="E262" s="7">
        <f t="shared" si="158"/>
        <v>1.5528740380517523</v>
      </c>
      <c r="F262" s="7">
        <f t="shared" si="158"/>
        <v>1.6311851127857295</v>
      </c>
      <c r="G262" s="7">
        <f t="shared" si="158"/>
        <v>1.6949634212917617</v>
      </c>
      <c r="H262" s="7">
        <f t="shared" si="158"/>
        <v>1.7283056752671597</v>
      </c>
      <c r="I262" s="7">
        <f t="shared" si="158"/>
        <v>1.7147923518333594</v>
      </c>
      <c r="J262" s="7">
        <f t="shared" si="158"/>
        <v>1.6602043620457849</v>
      </c>
      <c r="K262" s="7">
        <f t="shared" si="158"/>
        <v>1.5848865515002653</v>
      </c>
      <c r="L262" s="7">
        <f t="shared" si="158"/>
        <v>1.5541506144729273</v>
      </c>
      <c r="M262" s="7">
        <f t="shared" si="158"/>
        <v>1.4440812195200836</v>
      </c>
      <c r="N262" s="544">
        <f t="shared" si="158"/>
        <v>1.4131282416711513</v>
      </c>
    </row>
    <row r="263" spans="2:14">
      <c r="B263" s="454" t="s">
        <v>137</v>
      </c>
      <c r="C263" s="7">
        <f>C258*C238*C253+C239*C254*SIN(C258)</f>
        <v>0.41965327661589297</v>
      </c>
      <c r="D263" s="7">
        <f t="shared" ref="D263:N263" si="159">D258*D238*D253+D239*D254*SIN(D258)</f>
        <v>0.55946436520158616</v>
      </c>
      <c r="E263" s="7">
        <f t="shared" si="159"/>
        <v>0.74148954205508899</v>
      </c>
      <c r="F263" s="7">
        <f t="shared" si="159"/>
        <v>0.94292604837324412</v>
      </c>
      <c r="G263" s="7">
        <f t="shared" si="159"/>
        <v>1.0842502843581097</v>
      </c>
      <c r="H263" s="7">
        <f t="shared" si="159"/>
        <v>1.1477004834155249</v>
      </c>
      <c r="I263" s="7">
        <f t="shared" si="159"/>
        <v>1.12286035255836</v>
      </c>
      <c r="J263" s="7">
        <f t="shared" si="159"/>
        <v>1.0103636219249039</v>
      </c>
      <c r="K263" s="7">
        <f t="shared" si="159"/>
        <v>0.82637385982653222</v>
      </c>
      <c r="L263" s="7">
        <f t="shared" si="159"/>
        <v>0.74491203564158803</v>
      </c>
      <c r="M263" s="7">
        <f t="shared" si="159"/>
        <v>0.45664254227725803</v>
      </c>
      <c r="N263" s="544">
        <f t="shared" si="159"/>
        <v>0.38390159749318331</v>
      </c>
    </row>
    <row r="264" spans="2:14">
      <c r="B264" s="454" t="s">
        <v>137</v>
      </c>
      <c r="C264" s="7">
        <f t="shared" ref="C264:N264" si="160">C249*(1+0.033*COS(C251*C250))*C263</f>
        <v>16113.593859111455</v>
      </c>
      <c r="D264" s="7">
        <f t="shared" si="160"/>
        <v>21300.391428925424</v>
      </c>
      <c r="E264" s="7">
        <f t="shared" si="160"/>
        <v>27857.365715986991</v>
      </c>
      <c r="F264" s="7">
        <f t="shared" si="160"/>
        <v>34814.933101809205</v>
      </c>
      <c r="G264" s="7">
        <f t="shared" si="160"/>
        <v>39434.575352811044</v>
      </c>
      <c r="H264" s="7">
        <f t="shared" si="160"/>
        <v>41353.295919669195</v>
      </c>
      <c r="I264" s="7">
        <f t="shared" si="160"/>
        <v>40440.089973169517</v>
      </c>
      <c r="J264" s="7">
        <f t="shared" si="160"/>
        <v>36701.699200869007</v>
      </c>
      <c r="K264" s="7">
        <f t="shared" si="160"/>
        <v>30477.75241366648</v>
      </c>
      <c r="L264" s="7">
        <f t="shared" si="160"/>
        <v>27659.29812180937</v>
      </c>
      <c r="M264" s="7">
        <f t="shared" si="160"/>
        <v>17385.67368826165</v>
      </c>
      <c r="N264" s="544">
        <f t="shared" si="160"/>
        <v>14738.682819286218</v>
      </c>
    </row>
    <row r="265" spans="2:14">
      <c r="B265" s="454" t="s">
        <v>143</v>
      </c>
      <c r="C265" s="7">
        <f>VLOOKUP('Intensidad y Ángulo incli.'!$P$20,$A$3:$O$71,3,FALSE)*86.01</f>
        <v>6708.7800000000007</v>
      </c>
      <c r="D265" s="7">
        <f>VLOOKUP('Intensidad y Ángulo incli.'!$P$20,$A$3:$O$71,4,FALSE)*86.01</f>
        <v>7826.9100000000008</v>
      </c>
      <c r="E265" s="7">
        <f>VLOOKUP('Intensidad y Ángulo incli.'!$P$20,$A$3:$O$71,5,FALSE)*86.01</f>
        <v>12557.460000000001</v>
      </c>
      <c r="F265" s="7">
        <f>VLOOKUP('Intensidad y Ángulo incli.'!$P$20,$A$3:$O$71,6,FALSE)*86.01</f>
        <v>13847.61</v>
      </c>
      <c r="G265" s="7">
        <f>VLOOKUP('Intensidad y Ángulo incli.'!$P$20,$A$3:$O$71,7,FALSE)*86.01</f>
        <v>17632.05</v>
      </c>
      <c r="H265" s="7">
        <f>VLOOKUP('Intensidad y Ángulo incli.'!$P$20,$A$3:$O$71,8,FALSE)*86.01</f>
        <v>18578.16</v>
      </c>
      <c r="I265" s="7">
        <f>VLOOKUP('Intensidad y Ángulo incli.'!$P$20,$A$3:$O$71,9,FALSE)*86.01</f>
        <v>20212.350000000002</v>
      </c>
      <c r="J265" s="7">
        <f>VLOOKUP('Intensidad y Ángulo incli.'!$P$20,$A$3:$O$71,10,FALSE)*86.01</f>
        <v>17374.02</v>
      </c>
      <c r="K265" s="7">
        <f>VLOOKUP('Intensidad y Ángulo incli.'!$P$20,$A$3:$O$71,11,FALSE)*86.01</f>
        <v>13847.61</v>
      </c>
      <c r="L265" s="7">
        <f>VLOOKUP('Intensidad y Ángulo incli.'!$P$20,$A$3:$O$71,12,FALSE)*86.01</f>
        <v>10321.200000000001</v>
      </c>
      <c r="M265" s="7">
        <f>VLOOKUP('Intensidad y Ángulo incli.'!$P$20,$A$3:$O$71,13,FALSE)*86.01</f>
        <v>6450.75</v>
      </c>
      <c r="N265" s="544">
        <f>VLOOKUP('Intensidad y Ángulo incli.'!$P$20,$A$3:$O$71,14,FALSE)*86.01</f>
        <v>5762.67</v>
      </c>
    </row>
    <row r="266" spans="2:14">
      <c r="B266" s="454" t="s">
        <v>138</v>
      </c>
      <c r="C266" s="7">
        <f t="shared" ref="C266:N266" si="161">C265/C264</f>
        <v>0.41634287537950521</v>
      </c>
      <c r="D266" s="7">
        <f t="shared" si="161"/>
        <v>0.3674538107018655</v>
      </c>
      <c r="E266" s="7">
        <f t="shared" si="161"/>
        <v>0.45077700914101265</v>
      </c>
      <c r="F266" s="7">
        <f t="shared" si="161"/>
        <v>0.39774914860544114</v>
      </c>
      <c r="G266" s="7">
        <f t="shared" si="161"/>
        <v>0.4471215891701778</v>
      </c>
      <c r="H266" s="7">
        <f t="shared" si="161"/>
        <v>0.44925463827814321</v>
      </c>
      <c r="I266" s="7">
        <f t="shared" si="161"/>
        <v>0.49980971885597036</v>
      </c>
      <c r="J266" s="7">
        <f t="shared" si="161"/>
        <v>0.47338462191932046</v>
      </c>
      <c r="K266" s="7">
        <f t="shared" si="161"/>
        <v>0.45435141712715721</v>
      </c>
      <c r="L266" s="7">
        <f t="shared" si="161"/>
        <v>0.3731548051055471</v>
      </c>
      <c r="M266" s="7">
        <f t="shared" si="161"/>
        <v>0.3710382534302008</v>
      </c>
      <c r="N266" s="544">
        <f t="shared" si="161"/>
        <v>0.39098948465457795</v>
      </c>
    </row>
    <row r="267" spans="2:14">
      <c r="B267" s="454" t="s">
        <v>139</v>
      </c>
      <c r="C267" s="7">
        <f t="shared" ref="C267:N267" si="162">C266</f>
        <v>0.41634287537950521</v>
      </c>
      <c r="D267" s="7">
        <f t="shared" si="162"/>
        <v>0.3674538107018655</v>
      </c>
      <c r="E267" s="7">
        <f t="shared" si="162"/>
        <v>0.45077700914101265</v>
      </c>
      <c r="F267" s="7">
        <f t="shared" si="162"/>
        <v>0.39774914860544114</v>
      </c>
      <c r="G267" s="7">
        <f t="shared" si="162"/>
        <v>0.4471215891701778</v>
      </c>
      <c r="H267" s="7">
        <f t="shared" si="162"/>
        <v>0.44925463827814321</v>
      </c>
      <c r="I267" s="7">
        <f t="shared" si="162"/>
        <v>0.49980971885597036</v>
      </c>
      <c r="J267" s="7">
        <f t="shared" si="162"/>
        <v>0.47338462191932046</v>
      </c>
      <c r="K267" s="7">
        <f t="shared" si="162"/>
        <v>0.45435141712715721</v>
      </c>
      <c r="L267" s="7">
        <f t="shared" si="162"/>
        <v>0.3731548051055471</v>
      </c>
      <c r="M267" s="7">
        <f t="shared" si="162"/>
        <v>0.3710382534302008</v>
      </c>
      <c r="N267" s="544">
        <f t="shared" si="162"/>
        <v>0.39098948465457795</v>
      </c>
    </row>
    <row r="268" spans="2:14">
      <c r="B268" s="454" t="s">
        <v>140</v>
      </c>
      <c r="C268" s="7">
        <f>1.39-4.03*C266+5.53*C266^2-3.11*C266^3</f>
        <v>0.44626910040382178</v>
      </c>
      <c r="D268" s="7">
        <f t="shared" ref="D268:N268" si="163">1.39-4.03*D266+5.53*D266^2-3.11*D266^3</f>
        <v>0.50153350858285328</v>
      </c>
      <c r="E268" s="7">
        <f t="shared" si="163"/>
        <v>0.41219485728632826</v>
      </c>
      <c r="F268" s="7">
        <f t="shared" si="163"/>
        <v>0.46624238024235098</v>
      </c>
      <c r="G268" s="7">
        <f t="shared" si="163"/>
        <v>0.4156497544624983</v>
      </c>
      <c r="H268" s="7">
        <f t="shared" si="163"/>
        <v>0.41362936400598216</v>
      </c>
      <c r="I268" s="7">
        <f t="shared" si="163"/>
        <v>0.36890844039281112</v>
      </c>
      <c r="J268" s="7">
        <f t="shared" si="163"/>
        <v>0.39157868471143858</v>
      </c>
      <c r="K268" s="7">
        <f t="shared" si="163"/>
        <v>0.40885075633983514</v>
      </c>
      <c r="L268" s="7">
        <f t="shared" si="163"/>
        <v>0.49461342213873327</v>
      </c>
      <c r="M268" s="7">
        <f t="shared" si="163"/>
        <v>0.49716684857030835</v>
      </c>
      <c r="N268" s="544">
        <f t="shared" si="163"/>
        <v>0.47380900792504843</v>
      </c>
    </row>
    <row r="269" spans="2:14">
      <c r="B269" s="454" t="s">
        <v>131</v>
      </c>
      <c r="C269" s="7">
        <f>C239*C254*SIN(C258)+C258*C238*C253</f>
        <v>0.41965327661589297</v>
      </c>
      <c r="D269" s="7">
        <f t="shared" ref="D269:N269" si="164">D239*D254*SIN(D258)+D258*D238*D253</f>
        <v>0.55946436520158616</v>
      </c>
      <c r="E269" s="7">
        <f t="shared" si="164"/>
        <v>0.74148954205508899</v>
      </c>
      <c r="F269" s="7">
        <f t="shared" si="164"/>
        <v>0.94292604837324412</v>
      </c>
      <c r="G269" s="7">
        <f t="shared" si="164"/>
        <v>1.0842502843581097</v>
      </c>
      <c r="H269" s="7">
        <f t="shared" si="164"/>
        <v>1.1477004834155249</v>
      </c>
      <c r="I269" s="7">
        <f t="shared" si="164"/>
        <v>1.12286035255836</v>
      </c>
      <c r="J269" s="7">
        <f t="shared" si="164"/>
        <v>1.0103636219249039</v>
      </c>
      <c r="K269" s="7">
        <f t="shared" si="164"/>
        <v>0.82637385982653222</v>
      </c>
      <c r="L269" s="7">
        <f t="shared" si="164"/>
        <v>0.74491203564158803</v>
      </c>
      <c r="M269" s="7">
        <f t="shared" si="164"/>
        <v>0.45664254227725803</v>
      </c>
      <c r="N269" s="544">
        <f t="shared" si="164"/>
        <v>0.38390159749318331</v>
      </c>
    </row>
    <row r="270" spans="2:14">
      <c r="B270" s="454" t="s">
        <v>131</v>
      </c>
      <c r="C270" s="7">
        <f t="shared" ref="C270:N270" si="165">(C243*C254*SIN(IF(C261&gt;C257,C258,C262))+IF(C261&gt;C257,C258,C262)*C242*C253)/C269</f>
        <v>1.615266435047757</v>
      </c>
      <c r="D270" s="7">
        <f t="shared" si="165"/>
        <v>1.4120546757838965</v>
      </c>
      <c r="E270" s="7">
        <f t="shared" si="165"/>
        <v>1.2300783078327269</v>
      </c>
      <c r="F270" s="7">
        <f t="shared" si="165"/>
        <v>1.0781408952784111</v>
      </c>
      <c r="G270" s="7">
        <f t="shared" si="165"/>
        <v>0.98639300037491706</v>
      </c>
      <c r="H270" s="7">
        <f t="shared" si="165"/>
        <v>0.9464409434179849</v>
      </c>
      <c r="I270" s="7">
        <f t="shared" si="165"/>
        <v>0.96207011950144894</v>
      </c>
      <c r="J270" s="7">
        <f t="shared" si="165"/>
        <v>1.0335619387799644</v>
      </c>
      <c r="K270" s="7">
        <f t="shared" si="165"/>
        <v>1.1615376683396115</v>
      </c>
      <c r="L270" s="7">
        <f t="shared" si="165"/>
        <v>1.227164920335418</v>
      </c>
      <c r="M270" s="7">
        <f t="shared" si="165"/>
        <v>1.5530147584638292</v>
      </c>
      <c r="N270" s="544">
        <f t="shared" si="165"/>
        <v>1.6836302570842541</v>
      </c>
    </row>
    <row r="271" spans="2:14">
      <c r="B271" s="454" t="s">
        <v>141</v>
      </c>
      <c r="C271" s="7">
        <f t="shared" ref="C271:N271" si="166">((1-C268)*C270+C268*(1+C235)/2+0.2*(1-C235)/2)</f>
        <v>1.3347448389484211</v>
      </c>
      <c r="D271" s="7">
        <f t="shared" si="166"/>
        <v>1.1981136605706215</v>
      </c>
      <c r="E271" s="7">
        <f t="shared" si="166"/>
        <v>1.1301168800884409</v>
      </c>
      <c r="F271" s="7">
        <f t="shared" si="166"/>
        <v>1.0352787622537236</v>
      </c>
      <c r="G271" s="7">
        <f t="shared" si="166"/>
        <v>0.98684098100071782</v>
      </c>
      <c r="H271" s="7">
        <f t="shared" si="166"/>
        <v>0.96343556728069601</v>
      </c>
      <c r="I271" s="7">
        <f t="shared" si="166"/>
        <v>0.97198377168955019</v>
      </c>
      <c r="J271" s="7">
        <f t="shared" si="166"/>
        <v>1.0157933301820183</v>
      </c>
      <c r="K271" s="7">
        <f t="shared" si="166"/>
        <v>1.0904492952854854</v>
      </c>
      <c r="L271" s="7">
        <f t="shared" si="166"/>
        <v>1.1076914281943289</v>
      </c>
      <c r="M271" s="7">
        <f t="shared" si="166"/>
        <v>1.2708978171187004</v>
      </c>
      <c r="N271" s="544">
        <f t="shared" si="166"/>
        <v>1.3531078192936969</v>
      </c>
    </row>
    <row r="272" spans="2:14">
      <c r="B272" s="453"/>
      <c r="N272" s="544"/>
    </row>
    <row r="273" spans="2:15">
      <c r="B273" s="30" t="s">
        <v>144</v>
      </c>
      <c r="C273" s="7">
        <f>C253*C238*C235</f>
        <v>-0.21197723315051045</v>
      </c>
      <c r="D273" s="7">
        <f t="shared" ref="D273:N273" si="167">D253*D238*D235</f>
        <v>-0.13432286539762425</v>
      </c>
      <c r="E273" s="7">
        <f t="shared" si="167"/>
        <v>-2.8737871127481659E-2</v>
      </c>
      <c r="F273" s="7">
        <f t="shared" si="167"/>
        <v>9.5590041078041435E-2</v>
      </c>
      <c r="G273" s="7">
        <f t="shared" si="167"/>
        <v>0.18823922896110504</v>
      </c>
      <c r="H273" s="7">
        <f t="shared" si="167"/>
        <v>0.23127359040032341</v>
      </c>
      <c r="I273" s="7">
        <f t="shared" si="167"/>
        <v>0.21433097352133634</v>
      </c>
      <c r="J273" s="7">
        <f t="shared" si="167"/>
        <v>0.13922519842623007</v>
      </c>
      <c r="K273" s="7">
        <f t="shared" si="167"/>
        <v>2.2604170590543957E-2</v>
      </c>
      <c r="L273" s="7">
        <f t="shared" si="167"/>
        <v>-2.6695549129719536E-2</v>
      </c>
      <c r="M273" s="7">
        <f t="shared" si="167"/>
        <v>-0.19167187563919455</v>
      </c>
      <c r="N273" s="544">
        <f t="shared" si="167"/>
        <v>-0.23146848082879071</v>
      </c>
    </row>
    <row r="274" spans="2:15">
      <c r="B274" s="30" t="s">
        <v>144</v>
      </c>
      <c r="C274" s="7">
        <f t="shared" ref="C274:N274" si="168">C273-C253*C239*C234</f>
        <v>-0.12406944587233734</v>
      </c>
      <c r="D274" s="7">
        <f t="shared" si="168"/>
        <v>-7.8618648003745129E-2</v>
      </c>
      <c r="E274" s="7">
        <f t="shared" si="168"/>
        <v>-1.6820163624862869E-2</v>
      </c>
      <c r="F274" s="7">
        <f t="shared" si="168"/>
        <v>5.5948477349195953E-2</v>
      </c>
      <c r="G274" s="7">
        <f t="shared" si="168"/>
        <v>0.11017568482016059</v>
      </c>
      <c r="H274" s="7">
        <f t="shared" si="168"/>
        <v>0.13536352833466986</v>
      </c>
      <c r="I274" s="7">
        <f t="shared" si="168"/>
        <v>0.12544708090981502</v>
      </c>
      <c r="J274" s="7">
        <f t="shared" si="168"/>
        <v>8.1487964360511242E-2</v>
      </c>
      <c r="K274" s="7">
        <f t="shared" si="168"/>
        <v>1.3230132679301931E-2</v>
      </c>
      <c r="L274" s="7">
        <f t="shared" si="168"/>
        <v>-1.5624800543699729E-2</v>
      </c>
      <c r="M274" s="7">
        <f t="shared" si="168"/>
        <v>-0.1121847995014702</v>
      </c>
      <c r="N274" s="544">
        <f t="shared" si="168"/>
        <v>-0.13547759694055922</v>
      </c>
    </row>
    <row r="275" spans="2:15">
      <c r="B275" s="30" t="s">
        <v>144</v>
      </c>
      <c r="C275" s="7">
        <f t="shared" ref="C275:N275" si="169">C274+C254*C239*C235*C245</f>
        <v>0.43128579478789664</v>
      </c>
      <c r="D275" s="7">
        <f t="shared" si="169"/>
        <v>0.50137177203924077</v>
      </c>
      <c r="E275" s="7">
        <f t="shared" si="169"/>
        <v>0.57840722481000717</v>
      </c>
      <c r="F275" s="7">
        <f t="shared" si="169"/>
        <v>0.64386935028988812</v>
      </c>
      <c r="G275" s="7">
        <f t="shared" si="169"/>
        <v>0.67435697200988054</v>
      </c>
      <c r="H275" s="7">
        <f t="shared" si="169"/>
        <v>0.68265096357659294</v>
      </c>
      <c r="I275" s="7">
        <f t="shared" si="169"/>
        <v>0.67986191735092916</v>
      </c>
      <c r="J275" s="7">
        <f t="shared" si="169"/>
        <v>0.66027472988651481</v>
      </c>
      <c r="K275" s="7">
        <f t="shared" si="169"/>
        <v>0.60873259400608992</v>
      </c>
      <c r="L275" s="7">
        <f t="shared" si="169"/>
        <v>0.57970149152283279</v>
      </c>
      <c r="M275" s="7">
        <f t="shared" si="169"/>
        <v>0.45079313993477199</v>
      </c>
      <c r="N275" s="544">
        <f t="shared" si="169"/>
        <v>0.4117241378008884</v>
      </c>
    </row>
    <row r="276" spans="2:15">
      <c r="B276" s="30" t="s">
        <v>144</v>
      </c>
      <c r="C276" s="7">
        <f t="shared" ref="C276:N276" si="170">C275+C254*C238*C234*C245</f>
        <v>0.57065826034358402</v>
      </c>
      <c r="D276" s="7">
        <f t="shared" si="170"/>
        <v>0.64692670502946403</v>
      </c>
      <c r="E276" s="7">
        <f t="shared" si="170"/>
        <v>0.72778604150005166</v>
      </c>
      <c r="F276" s="7">
        <f t="shared" si="170"/>
        <v>0.79141451708435628</v>
      </c>
      <c r="G276" s="7">
        <f t="shared" si="170"/>
        <v>0.81594443037712627</v>
      </c>
      <c r="H276" s="7">
        <f t="shared" si="170"/>
        <v>0.81999872521225114</v>
      </c>
      <c r="I276" s="7">
        <f t="shared" si="170"/>
        <v>0.81899837819280141</v>
      </c>
      <c r="J276" s="7">
        <f t="shared" si="170"/>
        <v>0.80552759262435403</v>
      </c>
      <c r="K276" s="7">
        <f t="shared" si="170"/>
        <v>0.75818044324385747</v>
      </c>
      <c r="L276" s="7">
        <f t="shared" si="170"/>
        <v>0.72910512915988201</v>
      </c>
      <c r="M276" s="7">
        <f t="shared" si="170"/>
        <v>0.59207860503528686</v>
      </c>
      <c r="N276" s="544">
        <f t="shared" si="170"/>
        <v>0.54905039195957306</v>
      </c>
    </row>
    <row r="277" spans="2:15">
      <c r="B277" s="30" t="s">
        <v>144</v>
      </c>
      <c r="C277" s="7">
        <f t="shared" ref="C277:N277" si="171">ATAN(SQRT(1-C276^2)/C276)/C231</f>
        <v>55.203858985683247</v>
      </c>
      <c r="D277" s="7">
        <f t="shared" si="171"/>
        <v>49.689712629435256</v>
      </c>
      <c r="E277" s="7">
        <f t="shared" si="171"/>
        <v>43.2988902076629</v>
      </c>
      <c r="F277" s="7">
        <f t="shared" si="171"/>
        <v>37.682102515455043</v>
      </c>
      <c r="G277" s="7">
        <f t="shared" si="171"/>
        <v>35.319147665932071</v>
      </c>
      <c r="H277" s="7">
        <f t="shared" si="171"/>
        <v>34.915333858374289</v>
      </c>
      <c r="I277" s="7">
        <f t="shared" si="171"/>
        <v>35.015347100428002</v>
      </c>
      <c r="J277" s="7">
        <f t="shared" si="171"/>
        <v>36.338761399495283</v>
      </c>
      <c r="K277" s="7">
        <f t="shared" si="171"/>
        <v>40.695948697729811</v>
      </c>
      <c r="L277" s="7">
        <f t="shared" si="171"/>
        <v>43.188573753303295</v>
      </c>
      <c r="M277" s="7">
        <f t="shared" si="171"/>
        <v>53.695348520380819</v>
      </c>
      <c r="N277" s="544">
        <f t="shared" si="171"/>
        <v>56.698109745370346</v>
      </c>
    </row>
    <row r="279" spans="2:15">
      <c r="C279" s="17">
        <f>C265*C271*1.05</f>
        <v>9402.234954672409</v>
      </c>
      <c r="D279" s="17">
        <f t="shared" ref="D279:N279" si="172">D265*D271*1.05</f>
        <v>9846.4041806096448</v>
      </c>
      <c r="E279" s="17">
        <f t="shared" si="172"/>
        <v>14900.967392887165</v>
      </c>
      <c r="F279" s="17">
        <f t="shared" si="172"/>
        <v>15052.9433680209</v>
      </c>
      <c r="G279" s="17">
        <f t="shared" si="172"/>
        <v>18270.030995006393</v>
      </c>
      <c r="H279" s="17">
        <f t="shared" si="172"/>
        <v>18793.803124563114</v>
      </c>
      <c r="I279" s="17">
        <f t="shared" si="172"/>
        <v>20628.379997094748</v>
      </c>
      <c r="J279" s="17">
        <f t="shared" si="172"/>
        <v>18530.834316171444</v>
      </c>
      <c r="K279" s="17">
        <f t="shared" si="172"/>
        <v>15855.122394182654</v>
      </c>
      <c r="L279" s="17">
        <f t="shared" si="172"/>
        <v>12004.340007113275</v>
      </c>
      <c r="M279" s="17">
        <f t="shared" si="172"/>
        <v>8608.1562984673783</v>
      </c>
      <c r="N279" s="17">
        <f t="shared" si="172"/>
        <v>8187.3895288596696</v>
      </c>
      <c r="O279" s="17">
        <f>SUM(C279:N279)/86.01</f>
        <v>1977.4515353755235</v>
      </c>
    </row>
    <row r="280" spans="2:15"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</row>
    <row r="282" spans="2:15" ht="13.5" thickBot="1">
      <c r="B282" s="31"/>
      <c r="C282" s="717" t="s">
        <v>261</v>
      </c>
      <c r="D282" s="717"/>
      <c r="E282" s="717"/>
      <c r="F282" s="717"/>
      <c r="G282" s="717"/>
      <c r="H282" s="717"/>
      <c r="I282" s="717"/>
      <c r="J282" s="717"/>
      <c r="K282" s="717"/>
      <c r="L282" s="717"/>
      <c r="M282" s="717"/>
      <c r="N282" s="717"/>
    </row>
    <row r="283" spans="2:15">
      <c r="B283" s="31"/>
      <c r="C283" s="32" t="s">
        <v>16</v>
      </c>
      <c r="D283" s="33" t="s">
        <v>17</v>
      </c>
      <c r="E283" s="33" t="s">
        <v>18</v>
      </c>
      <c r="F283" s="33" t="s">
        <v>19</v>
      </c>
      <c r="G283" s="33" t="s">
        <v>20</v>
      </c>
      <c r="H283" s="33" t="s">
        <v>21</v>
      </c>
      <c r="I283" s="33" t="s">
        <v>22</v>
      </c>
      <c r="J283" s="33" t="s">
        <v>23</v>
      </c>
      <c r="K283" s="33" t="s">
        <v>103</v>
      </c>
      <c r="L283" s="33" t="s">
        <v>104</v>
      </c>
      <c r="M283" s="33" t="s">
        <v>105</v>
      </c>
      <c r="N283" s="34" t="s">
        <v>106</v>
      </c>
      <c r="O283" s="7" t="s">
        <v>262</v>
      </c>
    </row>
    <row r="284" spans="2:15">
      <c r="B284" s="31" t="s">
        <v>59</v>
      </c>
      <c r="C284" s="31">
        <v>4.8</v>
      </c>
      <c r="D284" s="31">
        <v>6.6</v>
      </c>
      <c r="E284" s="31">
        <v>9</v>
      </c>
      <c r="F284" s="31">
        <v>11.1</v>
      </c>
      <c r="G284" s="31">
        <v>15.3</v>
      </c>
      <c r="H284" s="31">
        <v>20.3</v>
      </c>
      <c r="I284" s="31">
        <v>24.3</v>
      </c>
      <c r="J284" s="31">
        <v>24</v>
      </c>
      <c r="K284" s="31">
        <v>19.899999999999999</v>
      </c>
      <c r="L284" s="31">
        <v>13.8</v>
      </c>
      <c r="M284" s="31">
        <v>8.8000000000000007</v>
      </c>
      <c r="N284" s="31">
        <v>5.9</v>
      </c>
      <c r="O284" s="7">
        <f>MAX(C284:N284)</f>
        <v>24.3</v>
      </c>
    </row>
    <row r="285" spans="2:15">
      <c r="B285" s="31" t="s">
        <v>238</v>
      </c>
      <c r="C285" s="31">
        <v>5.8</v>
      </c>
      <c r="D285" s="31">
        <v>7.6</v>
      </c>
      <c r="E285" s="31">
        <v>9.9</v>
      </c>
      <c r="F285" s="31">
        <v>12.1</v>
      </c>
      <c r="G285" s="31">
        <v>16</v>
      </c>
      <c r="H285" s="31">
        <v>21.1</v>
      </c>
      <c r="I285" s="31">
        <v>24.8</v>
      </c>
      <c r="J285" s="31">
        <v>24.3</v>
      </c>
      <c r="K285" s="31">
        <v>20.8</v>
      </c>
      <c r="L285" s="31">
        <v>14.9</v>
      </c>
      <c r="M285" s="31">
        <v>9.1</v>
      </c>
      <c r="N285" s="31">
        <v>6.2</v>
      </c>
      <c r="O285" s="7">
        <f t="shared" ref="O285:O348" si="173">MAX(C285:N285)</f>
        <v>24.8</v>
      </c>
    </row>
    <row r="286" spans="2:15">
      <c r="B286" s="31" t="s">
        <v>239</v>
      </c>
      <c r="C286" s="31">
        <v>6.4</v>
      </c>
      <c r="D286" s="31">
        <v>8.5</v>
      </c>
      <c r="E286" s="31">
        <v>10.7</v>
      </c>
      <c r="F286" s="31">
        <v>12.8</v>
      </c>
      <c r="G286" s="31">
        <v>16.600000000000001</v>
      </c>
      <c r="H286" s="31">
        <v>22.1</v>
      </c>
      <c r="I286" s="31">
        <v>25.2</v>
      </c>
      <c r="J286" s="31">
        <v>25</v>
      </c>
      <c r="K286" s="31">
        <v>21.7</v>
      </c>
      <c r="L286" s="31">
        <v>15.4</v>
      </c>
      <c r="M286" s="31">
        <v>9.5</v>
      </c>
      <c r="N286" s="31">
        <v>7</v>
      </c>
      <c r="O286" s="7">
        <f t="shared" si="173"/>
        <v>25.2</v>
      </c>
    </row>
    <row r="287" spans="2:15">
      <c r="B287" s="31" t="s">
        <v>240</v>
      </c>
      <c r="C287" s="31">
        <v>14.8</v>
      </c>
      <c r="D287" s="31">
        <v>14.7</v>
      </c>
      <c r="E287" s="31">
        <v>14.5</v>
      </c>
      <c r="F287" s="31">
        <v>15.2</v>
      </c>
      <c r="G287" s="31">
        <v>17.3</v>
      </c>
      <c r="H287" s="31">
        <v>19.7</v>
      </c>
      <c r="I287" s="31">
        <v>22.8</v>
      </c>
      <c r="J287" s="31">
        <v>23.8</v>
      </c>
      <c r="K287" s="31">
        <v>23.1</v>
      </c>
      <c r="L287" s="31">
        <v>19.899999999999999</v>
      </c>
      <c r="M287" s="31">
        <v>17</v>
      </c>
      <c r="N287" s="31">
        <v>15.2</v>
      </c>
      <c r="O287" s="7">
        <f t="shared" si="173"/>
        <v>23.8</v>
      </c>
    </row>
    <row r="288" spans="2:15">
      <c r="B288" s="31" t="s">
        <v>60</v>
      </c>
      <c r="C288" s="31">
        <v>11.5</v>
      </c>
      <c r="D288" s="31">
        <v>12.4</v>
      </c>
      <c r="E288" s="31">
        <v>13.7</v>
      </c>
      <c r="F288" s="31">
        <v>15.5</v>
      </c>
      <c r="G288" s="31">
        <v>18.399999999999999</v>
      </c>
      <c r="H288" s="31">
        <v>22.2</v>
      </c>
      <c r="I288" s="31">
        <v>24.9</v>
      </c>
      <c r="J288" s="31">
        <v>25.5</v>
      </c>
      <c r="K288" s="31">
        <v>23.1</v>
      </c>
      <c r="L288" s="31">
        <v>19.100000000000001</v>
      </c>
      <c r="M288" s="31">
        <v>15.2</v>
      </c>
      <c r="N288" s="31">
        <v>12.5</v>
      </c>
      <c r="O288" s="7">
        <f t="shared" si="173"/>
        <v>25.5</v>
      </c>
    </row>
    <row r="289" spans="2:15">
      <c r="B289" s="31" t="s">
        <v>61</v>
      </c>
      <c r="C289" s="31">
        <v>12.5</v>
      </c>
      <c r="D289" s="31">
        <v>13.2</v>
      </c>
      <c r="E289" s="31">
        <v>14.7</v>
      </c>
      <c r="F289" s="31">
        <v>16.399999999999999</v>
      </c>
      <c r="G289" s="31">
        <v>19.100000000000001</v>
      </c>
      <c r="H289" s="31">
        <v>22.7</v>
      </c>
      <c r="I289" s="31">
        <v>25.7</v>
      </c>
      <c r="J289" s="31">
        <v>26.4</v>
      </c>
      <c r="K289" s="31">
        <v>24</v>
      </c>
      <c r="L289" s="31">
        <v>20</v>
      </c>
      <c r="M289" s="31">
        <v>16.2</v>
      </c>
      <c r="N289" s="31">
        <v>13.7</v>
      </c>
      <c r="O289" s="7">
        <f t="shared" si="173"/>
        <v>26.4</v>
      </c>
    </row>
    <row r="290" spans="2:15">
      <c r="B290" s="31" t="s">
        <v>107</v>
      </c>
      <c r="C290" s="31">
        <v>2.8</v>
      </c>
      <c r="D290" s="31">
        <v>4.0999999999999996</v>
      </c>
      <c r="E290" s="31">
        <v>5.9</v>
      </c>
      <c r="F290" s="31">
        <v>7.5</v>
      </c>
      <c r="G290" s="31">
        <v>11.4</v>
      </c>
      <c r="H290" s="31">
        <v>16</v>
      </c>
      <c r="I290" s="31">
        <v>19.7</v>
      </c>
      <c r="J290" s="31">
        <v>19.5</v>
      </c>
      <c r="K290" s="31">
        <v>16.100000000000001</v>
      </c>
      <c r="L290" s="31">
        <v>10.8</v>
      </c>
      <c r="M290" s="31">
        <v>6.2</v>
      </c>
      <c r="N290" s="31">
        <v>4</v>
      </c>
      <c r="O290" s="7">
        <f t="shared" si="173"/>
        <v>19.7</v>
      </c>
    </row>
    <row r="291" spans="2:15">
      <c r="B291" s="31" t="s">
        <v>62</v>
      </c>
      <c r="C291" s="31">
        <v>8.5</v>
      </c>
      <c r="D291" s="31">
        <v>10.3</v>
      </c>
      <c r="E291" s="31">
        <v>12.7</v>
      </c>
      <c r="F291" s="31">
        <v>14.5</v>
      </c>
      <c r="G291" s="31">
        <v>18</v>
      </c>
      <c r="H291" s="31">
        <v>22.5</v>
      </c>
      <c r="I291" s="31">
        <v>25.7</v>
      </c>
      <c r="J291" s="31">
        <v>25.3</v>
      </c>
      <c r="K291" s="31">
        <v>22.6</v>
      </c>
      <c r="L291" s="31">
        <v>17.399999999999999</v>
      </c>
      <c r="M291" s="31">
        <v>12.5</v>
      </c>
      <c r="N291" s="31">
        <v>9.6</v>
      </c>
      <c r="O291" s="7">
        <f t="shared" si="173"/>
        <v>25.7</v>
      </c>
    </row>
    <row r="292" spans="2:15">
      <c r="B292" s="31" t="s">
        <v>241</v>
      </c>
      <c r="C292" s="31">
        <v>8.8000000000000007</v>
      </c>
      <c r="D292" s="31">
        <v>9.5</v>
      </c>
      <c r="E292" s="31">
        <v>11.1</v>
      </c>
      <c r="F292" s="31">
        <v>12.9</v>
      </c>
      <c r="G292" s="31">
        <v>16</v>
      </c>
      <c r="H292" s="31">
        <v>19.8</v>
      </c>
      <c r="I292" s="31">
        <v>23</v>
      </c>
      <c r="J292" s="31">
        <v>23</v>
      </c>
      <c r="K292" s="31">
        <v>21</v>
      </c>
      <c r="L292" s="31">
        <v>17.100000000000001</v>
      </c>
      <c r="M292" s="31">
        <v>12.5</v>
      </c>
      <c r="N292" s="31">
        <v>9.6999999999999993</v>
      </c>
      <c r="O292" s="7">
        <f t="shared" si="173"/>
        <v>23</v>
      </c>
    </row>
    <row r="293" spans="2:15">
      <c r="B293" s="31" t="s">
        <v>242</v>
      </c>
      <c r="C293" s="31">
        <v>8.8000000000000007</v>
      </c>
      <c r="D293" s="31">
        <v>9.6</v>
      </c>
      <c r="E293" s="31">
        <v>10.7</v>
      </c>
      <c r="F293" s="31">
        <v>12</v>
      </c>
      <c r="G293" s="31">
        <v>15.4</v>
      </c>
      <c r="H293" s="31">
        <v>18.100000000000001</v>
      </c>
      <c r="I293" s="31">
        <v>20.3</v>
      </c>
      <c r="J293" s="31">
        <v>20.6</v>
      </c>
      <c r="K293" s="31">
        <v>19.2</v>
      </c>
      <c r="L293" s="31">
        <v>16</v>
      </c>
      <c r="M293" s="31">
        <v>11.5</v>
      </c>
      <c r="N293" s="31">
        <v>9.4</v>
      </c>
      <c r="O293" s="7">
        <f t="shared" si="173"/>
        <v>20.6</v>
      </c>
    </row>
    <row r="294" spans="2:15">
      <c r="B294" s="31" t="s">
        <v>98</v>
      </c>
      <c r="C294" s="31">
        <v>8.9</v>
      </c>
      <c r="D294" s="31">
        <v>9.9</v>
      </c>
      <c r="E294" s="31">
        <v>11.3</v>
      </c>
      <c r="F294" s="31">
        <v>13</v>
      </c>
      <c r="G294" s="31">
        <v>16.2</v>
      </c>
      <c r="H294" s="31">
        <v>19.899999999999999</v>
      </c>
      <c r="I294" s="31">
        <v>23</v>
      </c>
      <c r="J294" s="31">
        <v>23.6</v>
      </c>
      <c r="K294" s="31">
        <v>21.1</v>
      </c>
      <c r="L294" s="31">
        <v>17</v>
      </c>
      <c r="M294" s="31">
        <v>12.5</v>
      </c>
      <c r="N294" s="31">
        <v>10</v>
      </c>
      <c r="O294" s="7">
        <f t="shared" si="173"/>
        <v>23.6</v>
      </c>
    </row>
    <row r="295" spans="2:15">
      <c r="B295" s="31" t="s">
        <v>243</v>
      </c>
      <c r="C295" s="31">
        <v>8.6999999999999993</v>
      </c>
      <c r="D295" s="31">
        <v>9.5</v>
      </c>
      <c r="E295" s="31">
        <v>10.6</v>
      </c>
      <c r="F295" s="31">
        <v>11.9</v>
      </c>
      <c r="G295" s="31">
        <v>15.4</v>
      </c>
      <c r="H295" s="31">
        <v>18.100000000000001</v>
      </c>
      <c r="I295" s="31">
        <v>20.3</v>
      </c>
      <c r="J295" s="31">
        <v>20.6</v>
      </c>
      <c r="K295" s="31">
        <v>19.2</v>
      </c>
      <c r="L295" s="31">
        <v>16</v>
      </c>
      <c r="M295" s="31">
        <v>11.4</v>
      </c>
      <c r="N295" s="31">
        <v>9.3000000000000007</v>
      </c>
      <c r="O295" s="7">
        <f t="shared" si="173"/>
        <v>20.6</v>
      </c>
    </row>
    <row r="296" spans="2:15">
      <c r="B296" s="31" t="s">
        <v>63</v>
      </c>
      <c r="C296" s="31">
        <v>2.7</v>
      </c>
      <c r="D296" s="31">
        <v>4.0999999999999996</v>
      </c>
      <c r="E296" s="31">
        <v>6.3</v>
      </c>
      <c r="F296" s="31">
        <v>7.8</v>
      </c>
      <c r="G296" s="31">
        <v>11.4</v>
      </c>
      <c r="H296" s="31">
        <v>15.2</v>
      </c>
      <c r="I296" s="31">
        <v>18.7</v>
      </c>
      <c r="J296" s="31">
        <v>18.899999999999999</v>
      </c>
      <c r="K296" s="31">
        <v>15.7</v>
      </c>
      <c r="L296" s="31">
        <v>10.9</v>
      </c>
      <c r="M296" s="31">
        <v>6.2</v>
      </c>
      <c r="N296" s="31">
        <v>3.9</v>
      </c>
      <c r="O296" s="7">
        <f t="shared" si="173"/>
        <v>18.899999999999999</v>
      </c>
    </row>
    <row r="297" spans="2:15">
      <c r="B297" s="31" t="s">
        <v>108</v>
      </c>
      <c r="C297" s="31">
        <v>7.9</v>
      </c>
      <c r="D297" s="31">
        <v>9.4</v>
      </c>
      <c r="E297" s="31">
        <v>11.8</v>
      </c>
      <c r="F297" s="31">
        <v>13.4</v>
      </c>
      <c r="G297" s="31">
        <v>17</v>
      </c>
      <c r="H297" s="31">
        <v>22</v>
      </c>
      <c r="I297" s="31">
        <v>25.8</v>
      </c>
      <c r="J297" s="31">
        <v>25.6</v>
      </c>
      <c r="K297" s="31">
        <v>22.4</v>
      </c>
      <c r="L297" s="31">
        <v>16.8</v>
      </c>
      <c r="M297" s="31">
        <v>12</v>
      </c>
      <c r="N297" s="31">
        <v>8.9</v>
      </c>
      <c r="O297" s="7">
        <f t="shared" si="173"/>
        <v>25.8</v>
      </c>
    </row>
    <row r="298" spans="2:15">
      <c r="B298" s="31" t="s">
        <v>64</v>
      </c>
      <c r="C298" s="31">
        <v>10.7</v>
      </c>
      <c r="D298" s="31">
        <v>12</v>
      </c>
      <c r="E298" s="31">
        <v>14</v>
      </c>
      <c r="F298" s="31">
        <v>15.4</v>
      </c>
      <c r="G298" s="31">
        <v>18.399999999999999</v>
      </c>
      <c r="H298" s="31">
        <v>22</v>
      </c>
      <c r="I298" s="31">
        <v>25.5</v>
      </c>
      <c r="J298" s="31">
        <v>25.7</v>
      </c>
      <c r="K298" s="31">
        <v>23.5</v>
      </c>
      <c r="L298" s="31">
        <v>19.100000000000001</v>
      </c>
      <c r="M298" s="31">
        <v>14.7</v>
      </c>
      <c r="N298" s="31">
        <v>11.9</v>
      </c>
      <c r="O298" s="7">
        <f t="shared" si="173"/>
        <v>25.7</v>
      </c>
    </row>
    <row r="299" spans="2:15">
      <c r="B299" s="31" t="s">
        <v>244</v>
      </c>
      <c r="C299" s="31">
        <v>9.5</v>
      </c>
      <c r="D299" s="31">
        <v>10.7</v>
      </c>
      <c r="E299" s="31">
        <v>12.6</v>
      </c>
      <c r="F299" s="31">
        <v>15</v>
      </c>
      <c r="G299" s="31">
        <v>18.2</v>
      </c>
      <c r="H299" s="31">
        <v>21.9</v>
      </c>
      <c r="I299" s="31">
        <v>24.6</v>
      </c>
      <c r="J299" s="31">
        <v>24.9</v>
      </c>
      <c r="K299" s="31">
        <v>22.4</v>
      </c>
      <c r="L299" s="31">
        <v>18.2</v>
      </c>
      <c r="M299" s="31">
        <v>13.6</v>
      </c>
      <c r="N299" s="31">
        <v>10.199999999999999</v>
      </c>
      <c r="O299" s="7">
        <f t="shared" si="173"/>
        <v>24.9</v>
      </c>
    </row>
    <row r="300" spans="2:15">
      <c r="B300" s="31" t="s">
        <v>65</v>
      </c>
      <c r="C300" s="31">
        <v>10.4</v>
      </c>
      <c r="D300" s="31">
        <v>11.4</v>
      </c>
      <c r="E300" s="31">
        <v>12.8</v>
      </c>
      <c r="F300" s="31">
        <v>14.6</v>
      </c>
      <c r="G300" s="31">
        <v>17.8</v>
      </c>
      <c r="H300" s="31">
        <v>21.6</v>
      </c>
      <c r="I300" s="31">
        <v>24.5</v>
      </c>
      <c r="J300" s="31">
        <v>25</v>
      </c>
      <c r="K300" s="31">
        <v>22.4</v>
      </c>
      <c r="L300" s="31">
        <v>18.3</v>
      </c>
      <c r="M300" s="31">
        <v>14</v>
      </c>
      <c r="N300" s="31">
        <v>11.4</v>
      </c>
      <c r="O300" s="7">
        <f t="shared" si="173"/>
        <v>25</v>
      </c>
    </row>
    <row r="301" spans="2:15">
      <c r="B301" s="31" t="s">
        <v>66</v>
      </c>
      <c r="C301" s="31">
        <v>5.7</v>
      </c>
      <c r="D301" s="31">
        <v>7.7</v>
      </c>
      <c r="E301" s="31">
        <v>10.4</v>
      </c>
      <c r="F301" s="31">
        <v>12.3</v>
      </c>
      <c r="G301" s="31">
        <v>16.399999999999999</v>
      </c>
      <c r="H301" s="31">
        <v>21.6</v>
      </c>
      <c r="I301" s="31">
        <v>25.4</v>
      </c>
      <c r="J301" s="31">
        <v>25</v>
      </c>
      <c r="K301" s="31">
        <v>20.8</v>
      </c>
      <c r="L301" s="31">
        <v>14.9</v>
      </c>
      <c r="M301" s="31">
        <v>9.5</v>
      </c>
      <c r="N301" s="31">
        <v>6.7</v>
      </c>
      <c r="O301" s="7">
        <f t="shared" si="173"/>
        <v>25.4</v>
      </c>
    </row>
    <row r="302" spans="2:15">
      <c r="B302" s="31" t="s">
        <v>102</v>
      </c>
      <c r="C302" s="31">
        <v>9.1999999999999993</v>
      </c>
      <c r="D302" s="31">
        <v>10.9</v>
      </c>
      <c r="E302" s="31">
        <v>13.5</v>
      </c>
      <c r="F302" s="31">
        <v>15.4</v>
      </c>
      <c r="G302" s="31">
        <v>19</v>
      </c>
      <c r="H302" s="31">
        <v>23.5</v>
      </c>
      <c r="I302" s="31">
        <v>27.2</v>
      </c>
      <c r="J302" s="31">
        <v>27.2</v>
      </c>
      <c r="K302" s="31">
        <v>24</v>
      </c>
      <c r="L302" s="31">
        <v>18.5</v>
      </c>
      <c r="M302" s="31">
        <v>13.2</v>
      </c>
      <c r="N302" s="31">
        <v>10.199999999999999</v>
      </c>
      <c r="O302" s="7">
        <f t="shared" si="173"/>
        <v>27.2</v>
      </c>
    </row>
    <row r="303" spans="2:15">
      <c r="B303" s="31" t="s">
        <v>68</v>
      </c>
      <c r="C303" s="31">
        <v>4.3</v>
      </c>
      <c r="D303" s="31">
        <v>5.6</v>
      </c>
      <c r="E303" s="31">
        <v>8</v>
      </c>
      <c r="F303" s="31">
        <v>9.8000000000000007</v>
      </c>
      <c r="G303" s="31">
        <v>13.8</v>
      </c>
      <c r="H303" s="31">
        <v>18.8</v>
      </c>
      <c r="I303" s="31">
        <v>22.7</v>
      </c>
      <c r="J303" s="31">
        <v>22.6</v>
      </c>
      <c r="K303" s="31">
        <v>18.399999999999999</v>
      </c>
      <c r="L303" s="31">
        <v>12.7</v>
      </c>
      <c r="M303" s="31">
        <v>7.9</v>
      </c>
      <c r="N303" s="31">
        <v>5.3</v>
      </c>
      <c r="O303" s="7">
        <f t="shared" si="173"/>
        <v>22.7</v>
      </c>
    </row>
    <row r="304" spans="2:15">
      <c r="B304" s="31" t="s">
        <v>245</v>
      </c>
      <c r="C304" s="31">
        <v>10.3</v>
      </c>
      <c r="D304" s="31">
        <v>11.2</v>
      </c>
      <c r="E304" s="31">
        <v>12.5</v>
      </c>
      <c r="F304" s="31">
        <v>14.6</v>
      </c>
      <c r="G304" s="31">
        <v>17.7</v>
      </c>
      <c r="H304" s="31">
        <v>21.4</v>
      </c>
      <c r="I304" s="31">
        <v>24.4</v>
      </c>
      <c r="J304" s="31">
        <v>24.8</v>
      </c>
      <c r="K304" s="31">
        <v>22.4</v>
      </c>
      <c r="L304" s="31">
        <v>18.3</v>
      </c>
      <c r="M304" s="31">
        <v>13.7</v>
      </c>
      <c r="N304" s="31">
        <v>10.9</v>
      </c>
      <c r="O304" s="7">
        <f t="shared" si="173"/>
        <v>24.8</v>
      </c>
    </row>
    <row r="305" spans="2:15">
      <c r="B305" s="31" t="s">
        <v>246</v>
      </c>
      <c r="C305" s="31">
        <v>6.1</v>
      </c>
      <c r="D305" s="31">
        <v>8.3000000000000007</v>
      </c>
      <c r="E305" s="31">
        <v>10.5</v>
      </c>
      <c r="F305" s="31">
        <v>12.8</v>
      </c>
      <c r="G305" s="31">
        <v>16.8</v>
      </c>
      <c r="H305" s="31">
        <v>21.9</v>
      </c>
      <c r="I305" s="31">
        <v>25.6</v>
      </c>
      <c r="J305" s="31">
        <v>25</v>
      </c>
      <c r="K305" s="31">
        <v>21.2</v>
      </c>
      <c r="L305" s="31">
        <v>15.5</v>
      </c>
      <c r="M305" s="31">
        <v>9.6999999999999993</v>
      </c>
      <c r="N305" s="31">
        <v>6.6</v>
      </c>
      <c r="O305" s="7">
        <f t="shared" si="173"/>
        <v>25.6</v>
      </c>
    </row>
    <row r="306" spans="2:15">
      <c r="B306" s="31" t="s">
        <v>247</v>
      </c>
      <c r="C306" s="31">
        <v>6.1</v>
      </c>
      <c r="D306" s="31">
        <v>8.3000000000000007</v>
      </c>
      <c r="E306" s="31">
        <v>10.5</v>
      </c>
      <c r="F306" s="31">
        <v>12.9</v>
      </c>
      <c r="G306" s="31">
        <v>16.899999999999999</v>
      </c>
      <c r="H306" s="31">
        <v>22</v>
      </c>
      <c r="I306" s="31">
        <v>25.7</v>
      </c>
      <c r="J306" s="31">
        <v>25.1</v>
      </c>
      <c r="K306" s="31">
        <v>21.2</v>
      </c>
      <c r="L306" s="31">
        <v>15.5</v>
      </c>
      <c r="M306" s="31">
        <v>9.6999999999999993</v>
      </c>
      <c r="N306" s="31">
        <v>6.6</v>
      </c>
      <c r="O306" s="7">
        <f t="shared" si="173"/>
        <v>25.7</v>
      </c>
    </row>
    <row r="307" spans="2:15">
      <c r="B307" s="31" t="s">
        <v>248</v>
      </c>
      <c r="C307" s="31">
        <v>11.4</v>
      </c>
      <c r="D307" s="31">
        <v>11.7</v>
      </c>
      <c r="E307" s="31">
        <v>11.4</v>
      </c>
      <c r="F307" s="31">
        <v>11.9</v>
      </c>
      <c r="G307" s="31">
        <v>13.7</v>
      </c>
      <c r="H307" s="31">
        <v>16.7</v>
      </c>
      <c r="I307" s="31">
        <v>19</v>
      </c>
      <c r="J307" s="31">
        <v>19.7</v>
      </c>
      <c r="K307" s="31">
        <v>19.5</v>
      </c>
      <c r="L307" s="31">
        <v>16.7</v>
      </c>
      <c r="M307" s="31">
        <v>13.7</v>
      </c>
      <c r="N307" s="31">
        <v>12.3</v>
      </c>
      <c r="O307" s="7">
        <f t="shared" si="173"/>
        <v>19.7</v>
      </c>
    </row>
    <row r="308" spans="2:15">
      <c r="B308" s="31" t="s">
        <v>69</v>
      </c>
      <c r="C308" s="31">
        <v>6.9</v>
      </c>
      <c r="D308" s="31">
        <v>8</v>
      </c>
      <c r="E308" s="31">
        <v>10</v>
      </c>
      <c r="F308" s="31">
        <v>11.8</v>
      </c>
      <c r="G308" s="31">
        <v>15.8</v>
      </c>
      <c r="H308" s="31">
        <v>19.600000000000001</v>
      </c>
      <c r="I308" s="31">
        <v>22.9</v>
      </c>
      <c r="J308" s="31">
        <v>22.9</v>
      </c>
      <c r="K308" s="31">
        <v>19.8</v>
      </c>
      <c r="L308" s="31">
        <v>15.3</v>
      </c>
      <c r="M308" s="31">
        <v>10.4</v>
      </c>
      <c r="N308" s="31">
        <v>7.8</v>
      </c>
      <c r="O308" s="7">
        <f t="shared" si="173"/>
        <v>22.9</v>
      </c>
    </row>
    <row r="309" spans="2:15">
      <c r="B309" s="31" t="s">
        <v>72</v>
      </c>
      <c r="C309" s="31">
        <v>6.7</v>
      </c>
      <c r="D309" s="31">
        <v>8.5</v>
      </c>
      <c r="E309" s="31">
        <v>11</v>
      </c>
      <c r="F309" s="31">
        <v>12.8</v>
      </c>
      <c r="G309" s="31">
        <v>16.8</v>
      </c>
      <c r="H309" s="31">
        <v>21.4</v>
      </c>
      <c r="I309" s="31">
        <v>24.8</v>
      </c>
      <c r="J309" s="31">
        <v>24.5</v>
      </c>
      <c r="K309" s="31">
        <v>20.9</v>
      </c>
      <c r="L309" s="31">
        <v>15.5</v>
      </c>
      <c r="M309" s="31">
        <v>10.7</v>
      </c>
      <c r="N309" s="31">
        <v>7.6</v>
      </c>
      <c r="O309" s="7">
        <f t="shared" si="173"/>
        <v>24.8</v>
      </c>
    </row>
    <row r="310" spans="2:15">
      <c r="B310" s="31" t="s">
        <v>70</v>
      </c>
      <c r="C310" s="31">
        <v>2.4</v>
      </c>
      <c r="D310" s="31">
        <v>3.8</v>
      </c>
      <c r="E310" s="31">
        <v>5.8</v>
      </c>
      <c r="F310" s="31">
        <v>7.8</v>
      </c>
      <c r="G310" s="31">
        <v>11.8</v>
      </c>
      <c r="H310" s="31">
        <v>16.100000000000001</v>
      </c>
      <c r="I310" s="31">
        <v>19.5</v>
      </c>
      <c r="J310" s="31">
        <v>19.399999999999999</v>
      </c>
      <c r="K310" s="31">
        <v>15.5</v>
      </c>
      <c r="L310" s="31">
        <v>10.5</v>
      </c>
      <c r="M310" s="31">
        <v>5.8</v>
      </c>
      <c r="N310" s="31">
        <v>3.4</v>
      </c>
      <c r="O310" s="7">
        <f t="shared" si="173"/>
        <v>19.5</v>
      </c>
    </row>
    <row r="311" spans="2:15">
      <c r="B311" s="31" t="s">
        <v>249</v>
      </c>
      <c r="C311" s="31">
        <v>9.1</v>
      </c>
      <c r="D311" s="31">
        <v>9.8000000000000007</v>
      </c>
      <c r="E311" s="31">
        <v>11.5</v>
      </c>
      <c r="F311" s="31">
        <v>13.3</v>
      </c>
      <c r="G311" s="31">
        <v>16.399999999999999</v>
      </c>
      <c r="H311" s="31">
        <v>20.2</v>
      </c>
      <c r="I311" s="31">
        <v>23.4</v>
      </c>
      <c r="J311" s="31">
        <v>23.3</v>
      </c>
      <c r="K311" s="31">
        <v>21.2</v>
      </c>
      <c r="L311" s="31">
        <v>17.3</v>
      </c>
      <c r="M311" s="31">
        <v>12.7</v>
      </c>
      <c r="N311" s="31">
        <v>10</v>
      </c>
      <c r="O311" s="7">
        <f t="shared" si="173"/>
        <v>23.4</v>
      </c>
    </row>
    <row r="312" spans="2:15">
      <c r="B312" s="31" t="s">
        <v>99</v>
      </c>
      <c r="C312" s="31">
        <v>11.4</v>
      </c>
      <c r="D312" s="31">
        <v>12.7</v>
      </c>
      <c r="E312" s="31">
        <v>14.6</v>
      </c>
      <c r="F312" s="31">
        <v>16</v>
      </c>
      <c r="G312" s="31">
        <v>18.8</v>
      </c>
      <c r="H312" s="31">
        <v>22.2</v>
      </c>
      <c r="I312" s="31">
        <v>25.4</v>
      </c>
      <c r="J312" s="31">
        <v>25.5</v>
      </c>
      <c r="K312" s="31">
        <v>23.5</v>
      </c>
      <c r="L312" s="31">
        <v>19.399999999999999</v>
      </c>
      <c r="M312" s="31">
        <v>15.3</v>
      </c>
      <c r="N312" s="31">
        <v>12.6</v>
      </c>
      <c r="O312" s="7">
        <f t="shared" si="173"/>
        <v>25.5</v>
      </c>
    </row>
    <row r="313" spans="2:15">
      <c r="B313" s="31" t="s">
        <v>71</v>
      </c>
      <c r="C313" s="31">
        <v>4.9000000000000004</v>
      </c>
      <c r="D313" s="31">
        <v>7</v>
      </c>
      <c r="E313" s="31">
        <v>9.6</v>
      </c>
      <c r="F313" s="31">
        <v>11.4</v>
      </c>
      <c r="G313" s="31">
        <v>15.3</v>
      </c>
      <c r="H313" s="31">
        <v>19.7</v>
      </c>
      <c r="I313" s="31">
        <v>23.4</v>
      </c>
      <c r="J313" s="31">
        <v>23.3</v>
      </c>
      <c r="K313" s="31">
        <v>19.5</v>
      </c>
      <c r="L313" s="31">
        <v>14.3</v>
      </c>
      <c r="M313" s="31">
        <v>8.9</v>
      </c>
      <c r="N313" s="31">
        <v>5.6</v>
      </c>
      <c r="O313" s="7">
        <f t="shared" si="173"/>
        <v>23.4</v>
      </c>
    </row>
    <row r="314" spans="2:15">
      <c r="B314" s="31" t="s">
        <v>109</v>
      </c>
      <c r="C314" s="31">
        <v>7.4</v>
      </c>
      <c r="D314" s="31">
        <v>8.9</v>
      </c>
      <c r="E314" s="31">
        <v>11.4</v>
      </c>
      <c r="F314" s="31">
        <v>13.2</v>
      </c>
      <c r="G314" s="31">
        <v>17.8</v>
      </c>
      <c r="H314" s="31">
        <v>22.3</v>
      </c>
      <c r="I314" s="31">
        <v>25.8</v>
      </c>
      <c r="J314" s="31">
        <v>25.3</v>
      </c>
      <c r="K314" s="31">
        <v>21.7</v>
      </c>
      <c r="L314" s="31">
        <v>16.600000000000001</v>
      </c>
      <c r="M314" s="31">
        <v>11.1</v>
      </c>
      <c r="N314" s="31">
        <v>7.6</v>
      </c>
      <c r="O314" s="7">
        <f t="shared" si="173"/>
        <v>25.8</v>
      </c>
    </row>
    <row r="315" spans="2:15">
      <c r="B315" s="31" t="s">
        <v>250</v>
      </c>
      <c r="C315" s="31">
        <v>10.9</v>
      </c>
      <c r="D315" s="31">
        <v>11.9</v>
      </c>
      <c r="E315" s="31">
        <v>13.3</v>
      </c>
      <c r="F315" s="31">
        <v>15.1</v>
      </c>
      <c r="G315" s="31">
        <v>18</v>
      </c>
      <c r="H315" s="31">
        <v>21.1</v>
      </c>
      <c r="I315" s="31">
        <v>24.3</v>
      </c>
      <c r="J315" s="31">
        <v>24.9</v>
      </c>
      <c r="K315" s="31">
        <v>23.1</v>
      </c>
      <c r="L315" s="31">
        <v>19</v>
      </c>
      <c r="M315" s="31">
        <v>14.4</v>
      </c>
      <c r="N315" s="31">
        <v>11.5</v>
      </c>
      <c r="O315" s="7">
        <f t="shared" si="173"/>
        <v>24.9</v>
      </c>
    </row>
    <row r="316" spans="2:15">
      <c r="B316" s="31" t="s">
        <v>67</v>
      </c>
      <c r="C316" s="31">
        <v>10.4</v>
      </c>
      <c r="D316" s="31">
        <v>10.9</v>
      </c>
      <c r="E316" s="31">
        <v>11.7</v>
      </c>
      <c r="F316" s="31">
        <v>12.5</v>
      </c>
      <c r="G316" s="31">
        <v>14.4</v>
      </c>
      <c r="H316" s="31">
        <v>16.7</v>
      </c>
      <c r="I316" s="31">
        <v>18.7</v>
      </c>
      <c r="J316" s="31">
        <v>19.2</v>
      </c>
      <c r="K316" s="31">
        <v>18.2</v>
      </c>
      <c r="L316" s="31">
        <v>15.6</v>
      </c>
      <c r="M316" s="31">
        <v>13</v>
      </c>
      <c r="N316" s="31">
        <v>11.5</v>
      </c>
      <c r="O316" s="7">
        <f t="shared" si="173"/>
        <v>19.2</v>
      </c>
    </row>
    <row r="317" spans="2:15">
      <c r="B317" s="31" t="s">
        <v>251</v>
      </c>
      <c r="C317" s="31">
        <v>19</v>
      </c>
      <c r="D317" s="31">
        <v>18.7</v>
      </c>
      <c r="E317" s="31">
        <v>18.7</v>
      </c>
      <c r="F317" s="31">
        <v>18.5</v>
      </c>
      <c r="G317" s="31">
        <v>19.5</v>
      </c>
      <c r="H317" s="31">
        <v>21</v>
      </c>
      <c r="I317" s="31">
        <v>23.2</v>
      </c>
      <c r="J317" s="31">
        <v>24.3</v>
      </c>
      <c r="K317" s="31">
        <v>24.5</v>
      </c>
      <c r="L317" s="31">
        <v>23.4</v>
      </c>
      <c r="M317" s="31">
        <v>21.4</v>
      </c>
      <c r="N317" s="31">
        <v>19.7</v>
      </c>
      <c r="O317" s="7">
        <f t="shared" si="173"/>
        <v>24.5</v>
      </c>
    </row>
    <row r="318" spans="2:15">
      <c r="B318" s="31" t="s">
        <v>252</v>
      </c>
      <c r="C318" s="31">
        <v>6.1</v>
      </c>
      <c r="D318" s="31">
        <v>8.3000000000000007</v>
      </c>
      <c r="E318" s="31">
        <v>10.5</v>
      </c>
      <c r="F318" s="31">
        <v>12.8</v>
      </c>
      <c r="G318" s="31">
        <v>16.8</v>
      </c>
      <c r="H318" s="31">
        <v>21.9</v>
      </c>
      <c r="I318" s="31">
        <v>25.6</v>
      </c>
      <c r="J318" s="31">
        <v>25</v>
      </c>
      <c r="K318" s="31">
        <v>21.2</v>
      </c>
      <c r="L318" s="31">
        <v>15.5</v>
      </c>
      <c r="M318" s="31">
        <v>9.6</v>
      </c>
      <c r="N318" s="31">
        <v>6.6</v>
      </c>
      <c r="O318" s="7">
        <f t="shared" si="173"/>
        <v>25.6</v>
      </c>
    </row>
    <row r="319" spans="2:15">
      <c r="B319" s="31" t="s">
        <v>73</v>
      </c>
      <c r="C319" s="31">
        <v>3.1</v>
      </c>
      <c r="D319" s="31">
        <v>4.9000000000000004</v>
      </c>
      <c r="E319" s="31">
        <v>7.1</v>
      </c>
      <c r="F319" s="31">
        <v>8.6</v>
      </c>
      <c r="G319" s="31">
        <v>12.1</v>
      </c>
      <c r="H319" s="31">
        <v>16.399999999999999</v>
      </c>
      <c r="I319" s="31">
        <v>19.600000000000001</v>
      </c>
      <c r="J319" s="31">
        <v>19.3</v>
      </c>
      <c r="K319" s="31">
        <v>16.399999999999999</v>
      </c>
      <c r="L319" s="31">
        <v>11.4</v>
      </c>
      <c r="M319" s="31">
        <v>7</v>
      </c>
      <c r="N319" s="31">
        <v>4.3</v>
      </c>
      <c r="O319" s="7">
        <f t="shared" si="173"/>
        <v>19.600000000000001</v>
      </c>
    </row>
    <row r="320" spans="2:15">
      <c r="B320" s="31" t="s">
        <v>74</v>
      </c>
      <c r="C320" s="31">
        <v>5.3</v>
      </c>
      <c r="D320" s="31">
        <v>7.9</v>
      </c>
      <c r="E320" s="31">
        <v>10.8</v>
      </c>
      <c r="F320" s="31">
        <v>13.2</v>
      </c>
      <c r="G320" s="31">
        <v>17.3</v>
      </c>
      <c r="H320" s="31">
        <v>21.4</v>
      </c>
      <c r="I320" s="31">
        <v>24.7</v>
      </c>
      <c r="J320" s="31">
        <v>24.5</v>
      </c>
      <c r="K320" s="31">
        <v>20.7</v>
      </c>
      <c r="L320" s="31">
        <v>15.3</v>
      </c>
      <c r="M320" s="31">
        <v>9.3000000000000007</v>
      </c>
      <c r="N320" s="31">
        <v>6</v>
      </c>
      <c r="O320" s="7">
        <f t="shared" si="173"/>
        <v>24.7</v>
      </c>
    </row>
    <row r="321" spans="2:15">
      <c r="B321" s="31" t="s">
        <v>75</v>
      </c>
      <c r="C321" s="31">
        <v>5.8</v>
      </c>
      <c r="D321" s="31">
        <v>7.5</v>
      </c>
      <c r="E321" s="31">
        <v>9.8000000000000007</v>
      </c>
      <c r="F321" s="31">
        <v>11.4</v>
      </c>
      <c r="G321" s="31">
        <v>15.3</v>
      </c>
      <c r="H321" s="31">
        <v>19</v>
      </c>
      <c r="I321" s="31">
        <v>22.2</v>
      </c>
      <c r="J321" s="31">
        <v>22.3</v>
      </c>
      <c r="K321" s="31">
        <v>19.100000000000001</v>
      </c>
      <c r="L321" s="31">
        <v>14.1</v>
      </c>
      <c r="M321" s="31">
        <v>9.1999999999999993</v>
      </c>
      <c r="N321" s="31">
        <v>6.6</v>
      </c>
      <c r="O321" s="7">
        <f t="shared" si="173"/>
        <v>22.3</v>
      </c>
    </row>
    <row r="322" spans="2:15">
      <c r="B322" s="31" t="s">
        <v>76</v>
      </c>
      <c r="C322" s="31">
        <v>5.8</v>
      </c>
      <c r="D322" s="31">
        <v>6.9</v>
      </c>
      <c r="E322" s="31">
        <v>8.4</v>
      </c>
      <c r="F322" s="31">
        <v>9.6</v>
      </c>
      <c r="G322" s="31">
        <v>12.3</v>
      </c>
      <c r="H322" s="31">
        <v>15.2</v>
      </c>
      <c r="I322" s="31">
        <v>17.7</v>
      </c>
      <c r="J322" s="31">
        <v>18</v>
      </c>
      <c r="K322" s="31">
        <v>16.100000000000001</v>
      </c>
      <c r="L322" s="31">
        <v>12.4</v>
      </c>
      <c r="M322" s="31">
        <v>8.8000000000000007</v>
      </c>
      <c r="N322" s="31">
        <v>6.9</v>
      </c>
      <c r="O322" s="7">
        <f t="shared" si="173"/>
        <v>18</v>
      </c>
    </row>
    <row r="323" spans="2:15">
      <c r="B323" s="31" t="s">
        <v>77</v>
      </c>
      <c r="C323" s="31">
        <v>6.1</v>
      </c>
      <c r="D323" s="31">
        <v>7.9</v>
      </c>
      <c r="E323" s="31">
        <v>10.7</v>
      </c>
      <c r="F323" s="31">
        <v>12.3</v>
      </c>
      <c r="G323" s="31">
        <v>16.100000000000001</v>
      </c>
      <c r="H323" s="31">
        <v>21</v>
      </c>
      <c r="I323" s="31">
        <v>24.8</v>
      </c>
      <c r="J323" s="31">
        <v>24.4</v>
      </c>
      <c r="K323" s="31">
        <v>20.5</v>
      </c>
      <c r="L323" s="31">
        <v>14.6</v>
      </c>
      <c r="M323" s="31">
        <v>9.6999999999999993</v>
      </c>
      <c r="N323" s="31">
        <v>7</v>
      </c>
      <c r="O323" s="7">
        <f t="shared" si="173"/>
        <v>24.8</v>
      </c>
    </row>
    <row r="324" spans="2:15">
      <c r="B324" s="31" t="s">
        <v>78</v>
      </c>
      <c r="C324" s="31">
        <v>11.9</v>
      </c>
      <c r="D324" s="31">
        <v>12.8</v>
      </c>
      <c r="E324" s="31">
        <v>14.1</v>
      </c>
      <c r="F324" s="31">
        <v>15.6</v>
      </c>
      <c r="G324" s="31">
        <v>18.7</v>
      </c>
      <c r="H324" s="31">
        <v>22.2</v>
      </c>
      <c r="I324" s="31">
        <v>24.8</v>
      </c>
      <c r="J324" s="31">
        <v>25.4</v>
      </c>
      <c r="K324" s="31">
        <v>23.1</v>
      </c>
      <c r="L324" s="31">
        <v>19</v>
      </c>
      <c r="M324" s="31">
        <v>15.4</v>
      </c>
      <c r="N324" s="31">
        <v>12.9</v>
      </c>
      <c r="O324" s="7">
        <f t="shared" si="173"/>
        <v>25.4</v>
      </c>
    </row>
    <row r="325" spans="2:15">
      <c r="B325" s="31" t="s">
        <v>253</v>
      </c>
      <c r="C325" s="31">
        <v>8.6999999999999993</v>
      </c>
      <c r="D325" s="31">
        <v>9.5</v>
      </c>
      <c r="E325" s="31">
        <v>11.2</v>
      </c>
      <c r="F325" s="31">
        <v>13.1</v>
      </c>
      <c r="G325" s="31">
        <v>16.399999999999999</v>
      </c>
      <c r="H325" s="31">
        <v>20.2</v>
      </c>
      <c r="I325" s="31">
        <v>23.4</v>
      </c>
      <c r="J325" s="31">
        <v>23.3</v>
      </c>
      <c r="K325" s="31">
        <v>21</v>
      </c>
      <c r="L325" s="31">
        <v>17</v>
      </c>
      <c r="M325" s="31">
        <v>12.3</v>
      </c>
      <c r="N325" s="31">
        <v>9.6</v>
      </c>
      <c r="O325" s="7">
        <f t="shared" si="173"/>
        <v>23.4</v>
      </c>
    </row>
    <row r="326" spans="2:15">
      <c r="B326" s="31" t="s">
        <v>100</v>
      </c>
      <c r="C326" s="31">
        <v>13.3</v>
      </c>
      <c r="D326" s="31">
        <v>13.8</v>
      </c>
      <c r="E326" s="31">
        <v>14.8</v>
      </c>
      <c r="F326" s="31">
        <v>16.2</v>
      </c>
      <c r="G326" s="31">
        <v>18.7</v>
      </c>
      <c r="H326" s="31">
        <v>21.8</v>
      </c>
      <c r="I326" s="31">
        <v>24.6</v>
      </c>
      <c r="J326" s="31">
        <v>25.5</v>
      </c>
      <c r="K326" s="31">
        <v>23.5</v>
      </c>
      <c r="L326" s="31">
        <v>20</v>
      </c>
      <c r="M326" s="31">
        <v>16.7</v>
      </c>
      <c r="N326" s="31">
        <v>14.4</v>
      </c>
      <c r="O326" s="7">
        <f t="shared" si="173"/>
        <v>25.5</v>
      </c>
    </row>
    <row r="327" spans="2:15">
      <c r="B327" s="31" t="s">
        <v>254</v>
      </c>
      <c r="C327" s="31">
        <v>6.2</v>
      </c>
      <c r="D327" s="31">
        <v>8.3000000000000007</v>
      </c>
      <c r="E327" s="31">
        <v>10.5</v>
      </c>
      <c r="F327" s="31">
        <v>12.7</v>
      </c>
      <c r="G327" s="31">
        <v>16.7</v>
      </c>
      <c r="H327" s="31">
        <v>21.9</v>
      </c>
      <c r="I327" s="31">
        <v>25.4</v>
      </c>
      <c r="J327" s="31">
        <v>24.9</v>
      </c>
      <c r="K327" s="31">
        <v>21.4</v>
      </c>
      <c r="L327" s="31">
        <v>15.4</v>
      </c>
      <c r="M327" s="31">
        <v>9.5</v>
      </c>
      <c r="N327" s="31">
        <v>6.7</v>
      </c>
      <c r="O327" s="7">
        <f t="shared" si="173"/>
        <v>25.4</v>
      </c>
    </row>
    <row r="328" spans="2:15">
      <c r="B328" s="31" t="s">
        <v>79</v>
      </c>
      <c r="C328" s="31">
        <v>10.6</v>
      </c>
      <c r="D328" s="31">
        <v>11.6</v>
      </c>
      <c r="E328" s="31">
        <v>12.9</v>
      </c>
      <c r="F328" s="31">
        <v>14.6</v>
      </c>
      <c r="G328" s="31">
        <v>17.600000000000001</v>
      </c>
      <c r="H328" s="31">
        <v>21.3</v>
      </c>
      <c r="I328" s="31">
        <v>24.1</v>
      </c>
      <c r="J328" s="31">
        <v>24.9</v>
      </c>
      <c r="K328" s="31">
        <v>22.7</v>
      </c>
      <c r="L328" s="31">
        <v>18.7</v>
      </c>
      <c r="M328" s="31">
        <v>14.6</v>
      </c>
      <c r="N328" s="31">
        <v>11.7</v>
      </c>
      <c r="O328" s="7">
        <f t="shared" si="173"/>
        <v>24.9</v>
      </c>
    </row>
    <row r="329" spans="2:15">
      <c r="B329" s="31" t="s">
        <v>80</v>
      </c>
      <c r="C329" s="31">
        <v>7.5</v>
      </c>
      <c r="D329" s="31">
        <v>9.1999999999999993</v>
      </c>
      <c r="E329" s="31">
        <v>11.4</v>
      </c>
      <c r="F329" s="31">
        <v>12.7</v>
      </c>
      <c r="G329" s="31">
        <v>15.7</v>
      </c>
      <c r="H329" s="31">
        <v>19.399999999999999</v>
      </c>
      <c r="I329" s="31">
        <v>22.1</v>
      </c>
      <c r="J329" s="31">
        <v>22</v>
      </c>
      <c r="K329" s="31">
        <v>19.399999999999999</v>
      </c>
      <c r="L329" s="31">
        <v>15.1</v>
      </c>
      <c r="M329" s="31">
        <v>10.8</v>
      </c>
      <c r="N329" s="31">
        <v>8.5</v>
      </c>
      <c r="O329" s="7">
        <f t="shared" si="173"/>
        <v>22.1</v>
      </c>
    </row>
    <row r="330" spans="2:15">
      <c r="B330" s="31" t="s">
        <v>81</v>
      </c>
      <c r="C330" s="31">
        <v>8</v>
      </c>
      <c r="D330" s="31">
        <v>8.8000000000000007</v>
      </c>
      <c r="E330" s="31">
        <v>10</v>
      </c>
      <c r="F330" s="31">
        <v>10.6</v>
      </c>
      <c r="G330" s="31">
        <v>13.3</v>
      </c>
      <c r="H330" s="31">
        <v>16.100000000000001</v>
      </c>
      <c r="I330" s="31">
        <v>18.3</v>
      </c>
      <c r="J330" s="31">
        <v>18.7</v>
      </c>
      <c r="K330" s="31">
        <v>17.3</v>
      </c>
      <c r="L330" s="31">
        <v>14</v>
      </c>
      <c r="M330" s="31">
        <v>10.8</v>
      </c>
      <c r="N330" s="31">
        <v>9</v>
      </c>
      <c r="O330" s="7">
        <f t="shared" si="173"/>
        <v>18.7</v>
      </c>
    </row>
    <row r="331" spans="2:15">
      <c r="B331" s="31" t="s">
        <v>255</v>
      </c>
      <c r="C331" s="31">
        <v>8.5</v>
      </c>
      <c r="D331" s="31">
        <v>9.4</v>
      </c>
      <c r="E331" s="31">
        <v>11</v>
      </c>
      <c r="F331" s="31">
        <v>13.1</v>
      </c>
      <c r="G331" s="31">
        <v>17.100000000000001</v>
      </c>
      <c r="H331" s="31">
        <v>21.2</v>
      </c>
      <c r="I331" s="31">
        <v>24.2</v>
      </c>
      <c r="J331" s="31">
        <v>24.4</v>
      </c>
      <c r="K331" s="31">
        <v>21.4</v>
      </c>
      <c r="L331" s="31">
        <v>17.399999999999999</v>
      </c>
      <c r="M331" s="31">
        <v>12.8</v>
      </c>
      <c r="N331" s="31">
        <v>9.8000000000000007</v>
      </c>
      <c r="O331" s="7">
        <f t="shared" si="173"/>
        <v>24.4</v>
      </c>
    </row>
    <row r="332" spans="2:15">
      <c r="B332" s="31" t="s">
        <v>82</v>
      </c>
      <c r="C332" s="31">
        <v>5</v>
      </c>
      <c r="D332" s="31">
        <v>6.5</v>
      </c>
      <c r="E332" s="31">
        <v>8.6</v>
      </c>
      <c r="F332" s="31">
        <v>10.199999999999999</v>
      </c>
      <c r="G332" s="31">
        <v>14</v>
      </c>
      <c r="H332" s="31">
        <v>17.5</v>
      </c>
      <c r="I332" s="31">
        <v>20.7</v>
      </c>
      <c r="J332" s="31">
        <v>20.9</v>
      </c>
      <c r="K332" s="31">
        <v>18</v>
      </c>
      <c r="L332" s="31">
        <v>13.6</v>
      </c>
      <c r="M332" s="31">
        <v>8.6</v>
      </c>
      <c r="N332" s="31">
        <v>6</v>
      </c>
      <c r="O332" s="7">
        <f t="shared" si="173"/>
        <v>20.9</v>
      </c>
    </row>
    <row r="333" spans="2:15">
      <c r="B333" s="31" t="s">
        <v>83</v>
      </c>
      <c r="C333" s="31">
        <v>9.5</v>
      </c>
      <c r="D333" s="31">
        <v>10.6</v>
      </c>
      <c r="E333" s="31">
        <v>12.1</v>
      </c>
      <c r="F333" s="31">
        <v>13.2</v>
      </c>
      <c r="G333" s="31">
        <v>15.4</v>
      </c>
      <c r="H333" s="31">
        <v>18.5</v>
      </c>
      <c r="I333" s="31">
        <v>20.5</v>
      </c>
      <c r="J333" s="31">
        <v>20.399999999999999</v>
      </c>
      <c r="K333" s="31">
        <v>18.8</v>
      </c>
      <c r="L333" s="31">
        <v>15.6</v>
      </c>
      <c r="M333" s="31">
        <v>12.3</v>
      </c>
      <c r="N333" s="31">
        <v>10.5</v>
      </c>
      <c r="O333" s="7">
        <f t="shared" si="173"/>
        <v>20.5</v>
      </c>
    </row>
    <row r="334" spans="2:15">
      <c r="B334" s="31" t="s">
        <v>256</v>
      </c>
      <c r="C334" s="31">
        <v>9.6999999999999993</v>
      </c>
      <c r="D334" s="31">
        <v>10.4</v>
      </c>
      <c r="E334" s="31">
        <v>12.1</v>
      </c>
      <c r="F334" s="31">
        <v>14</v>
      </c>
      <c r="G334" s="31">
        <v>17.3</v>
      </c>
      <c r="H334" s="31">
        <v>21</v>
      </c>
      <c r="I334" s="31">
        <v>24.2</v>
      </c>
      <c r="J334" s="31">
        <v>23.8</v>
      </c>
      <c r="K334" s="31">
        <v>21.5</v>
      </c>
      <c r="L334" s="31">
        <v>17.7</v>
      </c>
      <c r="M334" s="31">
        <v>13.3</v>
      </c>
      <c r="N334" s="31">
        <v>10.6</v>
      </c>
      <c r="O334" s="7">
        <f t="shared" si="173"/>
        <v>24.2</v>
      </c>
    </row>
    <row r="335" spans="2:15">
      <c r="B335" s="31" t="s">
        <v>84</v>
      </c>
      <c r="C335" s="31">
        <v>3.6</v>
      </c>
      <c r="D335" s="31">
        <v>5.6</v>
      </c>
      <c r="E335" s="31">
        <v>7.7</v>
      </c>
      <c r="F335" s="31">
        <v>9.6</v>
      </c>
      <c r="G335" s="31">
        <v>13.4</v>
      </c>
      <c r="H335" s="31">
        <v>17.899999999999999</v>
      </c>
      <c r="I335" s="31">
        <v>21</v>
      </c>
      <c r="J335" s="31">
        <v>20.5</v>
      </c>
      <c r="K335" s="31">
        <v>17.2</v>
      </c>
      <c r="L335" s="31">
        <v>12.2</v>
      </c>
      <c r="M335" s="31">
        <v>7.3</v>
      </c>
      <c r="N335" s="31">
        <v>4.8</v>
      </c>
      <c r="O335" s="7">
        <f t="shared" si="173"/>
        <v>21</v>
      </c>
    </row>
    <row r="336" spans="2:15">
      <c r="B336" s="31" t="s">
        <v>257</v>
      </c>
      <c r="C336" s="31">
        <v>8.6</v>
      </c>
      <c r="D336" s="31">
        <v>9.5</v>
      </c>
      <c r="E336" s="31">
        <v>10.9</v>
      </c>
      <c r="F336" s="31">
        <v>12.4</v>
      </c>
      <c r="G336" s="31">
        <v>15.7</v>
      </c>
      <c r="H336" s="31">
        <v>18.2</v>
      </c>
      <c r="I336" s="31">
        <v>20.6</v>
      </c>
      <c r="J336" s="31">
        <v>21</v>
      </c>
      <c r="K336" s="31">
        <v>19</v>
      </c>
      <c r="L336" s="31">
        <v>15.8</v>
      </c>
      <c r="M336" s="31">
        <v>11.5</v>
      </c>
      <c r="N336" s="31">
        <v>9.6</v>
      </c>
      <c r="O336" s="7">
        <f t="shared" si="173"/>
        <v>21</v>
      </c>
    </row>
    <row r="337" spans="2:15">
      <c r="B337" s="31" t="s">
        <v>258</v>
      </c>
      <c r="C337" s="31">
        <v>9.6</v>
      </c>
      <c r="D337" s="31">
        <v>10.4</v>
      </c>
      <c r="E337" s="31">
        <v>12.1</v>
      </c>
      <c r="F337" s="31">
        <v>14</v>
      </c>
      <c r="G337" s="31">
        <v>17.3</v>
      </c>
      <c r="H337" s="31">
        <v>21</v>
      </c>
      <c r="I337" s="31">
        <v>24.1</v>
      </c>
      <c r="J337" s="31">
        <v>23.8</v>
      </c>
      <c r="K337" s="31">
        <v>21.6</v>
      </c>
      <c r="L337" s="31">
        <v>17.7</v>
      </c>
      <c r="M337" s="31">
        <v>13.2</v>
      </c>
      <c r="N337" s="31">
        <v>10.5</v>
      </c>
      <c r="O337" s="7">
        <f t="shared" si="173"/>
        <v>24.1</v>
      </c>
    </row>
    <row r="338" spans="2:15">
      <c r="B338" s="31" t="s">
        <v>85</v>
      </c>
      <c r="C338" s="31">
        <v>9.6999999999999993</v>
      </c>
      <c r="D338" s="31">
        <v>10</v>
      </c>
      <c r="E338" s="31">
        <v>11.2</v>
      </c>
      <c r="F338" s="31">
        <v>12.4</v>
      </c>
      <c r="G338" s="31">
        <v>15.2</v>
      </c>
      <c r="H338" s="31">
        <v>17.8</v>
      </c>
      <c r="I338" s="31">
        <v>19.899999999999999</v>
      </c>
      <c r="J338" s="31">
        <v>20.100000000000001</v>
      </c>
      <c r="K338" s="31">
        <v>19.2</v>
      </c>
      <c r="L338" s="31">
        <v>16</v>
      </c>
      <c r="M338" s="31">
        <v>11.7</v>
      </c>
      <c r="N338" s="31">
        <v>10.3</v>
      </c>
      <c r="O338" s="7">
        <f t="shared" si="173"/>
        <v>20.100000000000001</v>
      </c>
    </row>
    <row r="339" spans="2:15">
      <c r="B339" s="31" t="s">
        <v>87</v>
      </c>
      <c r="C339" s="31">
        <v>4</v>
      </c>
      <c r="D339" s="31">
        <v>5.5</v>
      </c>
      <c r="E339" s="31">
        <v>7.6</v>
      </c>
      <c r="F339" s="31">
        <v>9.1</v>
      </c>
      <c r="G339" s="31">
        <v>12.9</v>
      </c>
      <c r="H339" s="31">
        <v>17.7</v>
      </c>
      <c r="I339" s="31">
        <v>21.6</v>
      </c>
      <c r="J339" s="31">
        <v>21.4</v>
      </c>
      <c r="K339" s="31">
        <v>17.8</v>
      </c>
      <c r="L339" s="31">
        <v>12.4</v>
      </c>
      <c r="M339" s="31">
        <v>7.6</v>
      </c>
      <c r="N339" s="31">
        <v>5.0999999999999996</v>
      </c>
      <c r="O339" s="7">
        <f t="shared" si="173"/>
        <v>21.6</v>
      </c>
    </row>
    <row r="340" spans="2:15">
      <c r="B340" s="31" t="s">
        <v>88</v>
      </c>
      <c r="C340" s="31">
        <v>10.6</v>
      </c>
      <c r="D340" s="31">
        <v>12.2</v>
      </c>
      <c r="E340" s="31">
        <v>14.7</v>
      </c>
      <c r="F340" s="31">
        <v>16.399999999999999</v>
      </c>
      <c r="G340" s="31">
        <v>19.7</v>
      </c>
      <c r="H340" s="31">
        <v>23.9</v>
      </c>
      <c r="I340" s="31">
        <v>27.4</v>
      </c>
      <c r="J340" s="31">
        <v>27.2</v>
      </c>
      <c r="K340" s="31">
        <v>24.5</v>
      </c>
      <c r="L340" s="31">
        <v>19.600000000000001</v>
      </c>
      <c r="M340" s="31">
        <v>14.8</v>
      </c>
      <c r="N340" s="31">
        <v>11.8</v>
      </c>
      <c r="O340" s="7">
        <f t="shared" si="173"/>
        <v>27.4</v>
      </c>
    </row>
    <row r="341" spans="2:15">
      <c r="B341" s="31" t="s">
        <v>89</v>
      </c>
      <c r="C341" s="31">
        <v>2.9</v>
      </c>
      <c r="D341" s="31">
        <v>4.4000000000000004</v>
      </c>
      <c r="E341" s="31">
        <v>6.5</v>
      </c>
      <c r="F341" s="31">
        <v>8</v>
      </c>
      <c r="G341" s="31">
        <v>11.9</v>
      </c>
      <c r="H341" s="31">
        <v>16.2</v>
      </c>
      <c r="I341" s="31">
        <v>20</v>
      </c>
      <c r="J341" s="31">
        <v>19.899999999999999</v>
      </c>
      <c r="K341" s="31">
        <v>16.3</v>
      </c>
      <c r="L341" s="31">
        <v>11.1</v>
      </c>
      <c r="M341" s="31">
        <v>6.5</v>
      </c>
      <c r="N341" s="31">
        <v>4</v>
      </c>
      <c r="O341" s="7">
        <f t="shared" si="173"/>
        <v>20</v>
      </c>
    </row>
    <row r="342" spans="2:15">
      <c r="B342" s="31" t="s">
        <v>90</v>
      </c>
      <c r="C342" s="31">
        <v>8.9</v>
      </c>
      <c r="D342" s="31">
        <v>10.1</v>
      </c>
      <c r="E342" s="31">
        <v>11.6</v>
      </c>
      <c r="F342" s="31">
        <v>13.4</v>
      </c>
      <c r="G342" s="31">
        <v>16.7</v>
      </c>
      <c r="H342" s="31">
        <v>20.6</v>
      </c>
      <c r="I342" s="31">
        <v>23.7</v>
      </c>
      <c r="J342" s="31">
        <v>24</v>
      </c>
      <c r="K342" s="31">
        <v>21.2</v>
      </c>
      <c r="L342" s="31">
        <v>17</v>
      </c>
      <c r="M342" s="31">
        <v>12.4</v>
      </c>
      <c r="N342" s="31">
        <v>10</v>
      </c>
      <c r="O342" s="7">
        <f t="shared" si="173"/>
        <v>24</v>
      </c>
    </row>
    <row r="343" spans="2:15">
      <c r="B343" s="31" t="s">
        <v>259</v>
      </c>
      <c r="C343" s="31">
        <v>9.1999999999999993</v>
      </c>
      <c r="D343" s="31">
        <v>9.9</v>
      </c>
      <c r="E343" s="31">
        <v>11.7</v>
      </c>
      <c r="F343" s="31">
        <v>13.6</v>
      </c>
      <c r="G343" s="31">
        <v>16.899999999999999</v>
      </c>
      <c r="H343" s="31">
        <v>20.6</v>
      </c>
      <c r="I343" s="31">
        <v>23.8</v>
      </c>
      <c r="J343" s="31">
        <v>23.4</v>
      </c>
      <c r="K343" s="31">
        <v>21.1</v>
      </c>
      <c r="L343" s="31">
        <v>17.2</v>
      </c>
      <c r="M343" s="31">
        <v>12.7</v>
      </c>
      <c r="N343" s="31">
        <v>10</v>
      </c>
      <c r="O343" s="7">
        <f t="shared" si="173"/>
        <v>23.8</v>
      </c>
    </row>
    <row r="344" spans="2:15">
      <c r="B344" s="31" t="s">
        <v>86</v>
      </c>
      <c r="C344" s="31">
        <v>18.399999999999999</v>
      </c>
      <c r="D344" s="31">
        <v>18.600000000000001</v>
      </c>
      <c r="E344" s="31">
        <v>19.399999999999999</v>
      </c>
      <c r="F344" s="31">
        <v>19.399999999999999</v>
      </c>
      <c r="G344" s="31">
        <v>20.3</v>
      </c>
      <c r="H344" s="31">
        <v>22</v>
      </c>
      <c r="I344" s="31">
        <v>23.8</v>
      </c>
      <c r="J344" s="31">
        <v>24.7</v>
      </c>
      <c r="K344" s="31">
        <v>24.4</v>
      </c>
      <c r="L344" s="31">
        <v>23.2</v>
      </c>
      <c r="M344" s="31">
        <v>21.5</v>
      </c>
      <c r="N344" s="31">
        <v>19.600000000000001</v>
      </c>
      <c r="O344" s="7">
        <f t="shared" si="173"/>
        <v>24.7</v>
      </c>
    </row>
    <row r="345" spans="2:15">
      <c r="B345" s="31" t="s">
        <v>91</v>
      </c>
      <c r="C345" s="31">
        <v>3.6</v>
      </c>
      <c r="D345" s="31">
        <v>5.2</v>
      </c>
      <c r="E345" s="31">
        <v>7.5</v>
      </c>
      <c r="F345" s="31">
        <v>9.4</v>
      </c>
      <c r="G345" s="31">
        <v>13.5</v>
      </c>
      <c r="H345" s="31">
        <v>17.899999999999999</v>
      </c>
      <c r="I345" s="31">
        <v>21.6</v>
      </c>
      <c r="J345" s="31">
        <v>21.3</v>
      </c>
      <c r="K345" s="31">
        <v>17.600000000000001</v>
      </c>
      <c r="L345" s="31">
        <v>12.1</v>
      </c>
      <c r="M345" s="31">
        <v>7.2</v>
      </c>
      <c r="N345" s="31">
        <v>4.5999999999999996</v>
      </c>
      <c r="O345" s="7">
        <f t="shared" si="173"/>
        <v>21.6</v>
      </c>
    </row>
    <row r="346" spans="2:15">
      <c r="B346" s="31" t="s">
        <v>92</v>
      </c>
      <c r="C346" s="31">
        <v>6.4</v>
      </c>
      <c r="D346" s="31">
        <v>8.3000000000000007</v>
      </c>
      <c r="E346" s="31">
        <v>11</v>
      </c>
      <c r="F346" s="31">
        <v>12.9</v>
      </c>
      <c r="G346" s="31">
        <v>16.899999999999999</v>
      </c>
      <c r="H346" s="31">
        <v>22.1</v>
      </c>
      <c r="I346" s="31">
        <v>26</v>
      </c>
      <c r="J346" s="31">
        <v>25.7</v>
      </c>
      <c r="K346" s="31">
        <v>21.6</v>
      </c>
      <c r="L346" s="31">
        <v>15.6</v>
      </c>
      <c r="M346" s="31">
        <v>10.199999999999999</v>
      </c>
      <c r="N346" s="31">
        <v>7.3</v>
      </c>
      <c r="O346" s="7">
        <f t="shared" si="173"/>
        <v>26</v>
      </c>
    </row>
    <row r="347" spans="2:15">
      <c r="B347" s="31" t="s">
        <v>93</v>
      </c>
      <c r="C347" s="31">
        <v>11.5</v>
      </c>
      <c r="D347" s="31">
        <v>12.6</v>
      </c>
      <c r="E347" s="31">
        <v>13.9</v>
      </c>
      <c r="F347" s="31">
        <v>15.5</v>
      </c>
      <c r="G347" s="31">
        <v>18.399999999999999</v>
      </c>
      <c r="H347" s="31">
        <v>22.1</v>
      </c>
      <c r="I347" s="31">
        <v>24.9</v>
      </c>
      <c r="J347" s="31">
        <v>25.5</v>
      </c>
      <c r="K347" s="31">
        <v>23.1</v>
      </c>
      <c r="L347" s="31">
        <v>19.100000000000001</v>
      </c>
      <c r="M347" s="31">
        <v>14.9</v>
      </c>
      <c r="N347" s="31">
        <v>12.4</v>
      </c>
      <c r="O347" s="7">
        <f t="shared" si="173"/>
        <v>25.5</v>
      </c>
    </row>
    <row r="348" spans="2:15">
      <c r="B348" s="31" t="s">
        <v>94</v>
      </c>
      <c r="C348" s="31">
        <v>4</v>
      </c>
      <c r="D348" s="31">
        <v>6.1</v>
      </c>
      <c r="E348" s="31">
        <v>8.4</v>
      </c>
      <c r="F348" s="31">
        <v>10.1</v>
      </c>
      <c r="G348" s="31">
        <v>13.8</v>
      </c>
      <c r="H348" s="31">
        <v>18.100000000000001</v>
      </c>
      <c r="I348" s="31">
        <v>21.7</v>
      </c>
      <c r="J348" s="31">
        <v>21.6</v>
      </c>
      <c r="K348" s="31">
        <v>18.100000000000001</v>
      </c>
      <c r="L348" s="31">
        <v>12.8</v>
      </c>
      <c r="M348" s="31">
        <v>7.7</v>
      </c>
      <c r="N348" s="31">
        <v>5</v>
      </c>
      <c r="O348" s="7">
        <f t="shared" si="173"/>
        <v>21.7</v>
      </c>
    </row>
    <row r="349" spans="2:15">
      <c r="B349" s="31" t="s">
        <v>260</v>
      </c>
      <c r="C349" s="31">
        <v>11.2</v>
      </c>
      <c r="D349" s="31">
        <v>11.4</v>
      </c>
      <c r="E349" s="31">
        <v>12.1</v>
      </c>
      <c r="F349" s="31">
        <v>12.7</v>
      </c>
      <c r="G349" s="31">
        <v>14.7</v>
      </c>
      <c r="H349" s="31">
        <v>17.7</v>
      </c>
      <c r="I349" s="31">
        <v>19.5</v>
      </c>
      <c r="J349" s="31">
        <v>19.600000000000001</v>
      </c>
      <c r="K349" s="31">
        <v>19.399999999999999</v>
      </c>
      <c r="L349" s="31">
        <v>17.100000000000001</v>
      </c>
      <c r="M349" s="31">
        <v>13.5</v>
      </c>
      <c r="N349" s="31">
        <v>11.7</v>
      </c>
      <c r="O349" s="7">
        <f>MAX(C349:N349)</f>
        <v>19.600000000000001</v>
      </c>
    </row>
    <row r="350" spans="2:15">
      <c r="B350" s="31" t="s">
        <v>95</v>
      </c>
      <c r="C350" s="31">
        <v>4.7</v>
      </c>
      <c r="D350" s="31">
        <v>5.9</v>
      </c>
      <c r="E350" s="31">
        <v>7.9</v>
      </c>
      <c r="F350" s="31">
        <v>9.1999999999999993</v>
      </c>
      <c r="G350" s="31">
        <v>12.9</v>
      </c>
      <c r="H350" s="31">
        <v>15.9</v>
      </c>
      <c r="I350" s="31">
        <v>18.7</v>
      </c>
      <c r="J350" s="31">
        <v>19.100000000000001</v>
      </c>
      <c r="K350" s="31">
        <v>16.600000000000001</v>
      </c>
      <c r="L350" s="31">
        <v>12.4</v>
      </c>
      <c r="M350" s="31">
        <v>7.9</v>
      </c>
      <c r="N350" s="31">
        <v>5.6</v>
      </c>
      <c r="O350" s="7">
        <f>MAX(C350:N350)</f>
        <v>19.100000000000001</v>
      </c>
    </row>
    <row r="351" spans="2:15">
      <c r="B351" s="31" t="s">
        <v>96</v>
      </c>
      <c r="C351" s="31">
        <v>4.3</v>
      </c>
      <c r="D351" s="31">
        <v>6.6</v>
      </c>
      <c r="E351" s="31">
        <v>8.9</v>
      </c>
      <c r="F351" s="31">
        <v>10.7</v>
      </c>
      <c r="G351" s="31">
        <v>14.3</v>
      </c>
      <c r="H351" s="31">
        <v>18.7</v>
      </c>
      <c r="I351" s="31">
        <v>22.1</v>
      </c>
      <c r="J351" s="31">
        <v>21.8</v>
      </c>
      <c r="K351" s="31">
        <v>18.5</v>
      </c>
      <c r="L351" s="31">
        <v>13.3</v>
      </c>
      <c r="M351" s="31">
        <v>8.3000000000000007</v>
      </c>
      <c r="N351" s="31">
        <v>5.5</v>
      </c>
      <c r="O351" s="7">
        <f>MAX(C351:N351)</f>
        <v>22.1</v>
      </c>
    </row>
    <row r="352" spans="2:15">
      <c r="B352" s="31" t="s">
        <v>97</v>
      </c>
      <c r="C352" s="31">
        <v>6.4</v>
      </c>
      <c r="D352" s="31">
        <v>8.4</v>
      </c>
      <c r="E352" s="31">
        <v>10.9</v>
      </c>
      <c r="F352" s="31">
        <v>13</v>
      </c>
      <c r="G352" s="31">
        <v>17.2</v>
      </c>
      <c r="H352" s="31">
        <v>21.3</v>
      </c>
      <c r="I352" s="31">
        <v>24.5</v>
      </c>
      <c r="J352" s="31">
        <v>24.4</v>
      </c>
      <c r="K352" s="31">
        <v>20.7</v>
      </c>
      <c r="L352" s="31">
        <v>15.5</v>
      </c>
      <c r="M352" s="31">
        <v>10</v>
      </c>
      <c r="N352" s="31">
        <v>7.1</v>
      </c>
      <c r="O352" s="7">
        <f>MAX(C352:N352)</f>
        <v>24.5</v>
      </c>
    </row>
  </sheetData>
  <sortState ref="B3:B71">
    <sortCondition ref="B3"/>
  </sortState>
  <mergeCells count="2">
    <mergeCell ref="C1:N1"/>
    <mergeCell ref="C282:N282"/>
  </mergeCells>
  <phoneticPr fontId="1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>
    <pageSetUpPr fitToPage="1"/>
  </sheetPr>
  <dimension ref="A1:AX82"/>
  <sheetViews>
    <sheetView showGridLines="0" defaultGridColor="0" topLeftCell="A22" colorId="51" zoomScale="75" zoomScaleNormal="75" workbookViewId="0">
      <selection activeCell="R32" sqref="R32"/>
    </sheetView>
  </sheetViews>
  <sheetFormatPr baseColWidth="10" defaultRowHeight="12.75" outlineLevelRow="1" outlineLevelCol="1"/>
  <cols>
    <col min="1" max="1" width="6.7109375" customWidth="1"/>
    <col min="2" max="2" width="8.7109375" customWidth="1"/>
    <col min="3" max="3" width="12.42578125" customWidth="1"/>
    <col min="4" max="4" width="13.140625" customWidth="1"/>
    <col min="5" max="5" width="15.28515625" hidden="1" customWidth="1" outlineLevel="1"/>
    <col min="6" max="6" width="15.42578125" customWidth="1" collapsed="1"/>
    <col min="7" max="7" width="12.7109375" customWidth="1"/>
    <col min="9" max="9" width="12.5703125" hidden="1" customWidth="1"/>
    <col min="10" max="10" width="0.140625" hidden="1" customWidth="1"/>
    <col min="11" max="12" width="12.5703125" hidden="1" customWidth="1"/>
    <col min="13" max="13" width="12.5703125" customWidth="1"/>
    <col min="14" max="14" width="16.85546875" customWidth="1"/>
    <col min="15" max="15" width="13" customWidth="1"/>
    <col min="16" max="17" width="12.28515625" customWidth="1"/>
    <col min="18" max="18" width="17.5703125" customWidth="1"/>
    <col min="19" max="19" width="14.28515625" customWidth="1"/>
    <col min="20" max="20" width="9.85546875" customWidth="1"/>
    <col min="21" max="21" width="6.85546875" customWidth="1"/>
    <col min="22" max="22" width="8.7109375" customWidth="1"/>
    <col min="23" max="23" width="0.28515625" hidden="1" customWidth="1"/>
    <col min="24" max="44" width="11.42578125" hidden="1" customWidth="1"/>
  </cols>
  <sheetData>
    <row r="1" spans="1:50" ht="13.5" thickTop="1">
      <c r="A1" s="233"/>
      <c r="B1" s="234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40"/>
      <c r="V1" s="233"/>
      <c r="W1" s="233"/>
      <c r="AS1" s="233"/>
      <c r="AT1" s="233"/>
      <c r="AU1" s="233"/>
      <c r="AV1" s="233"/>
      <c r="AW1" s="233"/>
      <c r="AX1" s="233"/>
    </row>
    <row r="2" spans="1:50" ht="15">
      <c r="A2" s="233"/>
      <c r="B2" s="236"/>
      <c r="C2" s="237" t="s">
        <v>49</v>
      </c>
      <c r="D2" s="237"/>
      <c r="E2" s="241"/>
      <c r="F2" s="546" t="str">
        <f>'Cálculo de consumo'!E2</f>
        <v>Prueba</v>
      </c>
      <c r="G2" s="546"/>
      <c r="H2" s="546"/>
      <c r="I2" s="237"/>
      <c r="J2" s="237"/>
      <c r="K2" s="237"/>
      <c r="L2" s="237"/>
      <c r="M2" s="237" t="s">
        <v>50</v>
      </c>
      <c r="N2" s="237"/>
      <c r="O2" s="237"/>
      <c r="P2" s="556" t="str">
        <f>'Cálculo de consumo'!J2</f>
        <v>Prueba</v>
      </c>
      <c r="Q2" s="556"/>
      <c r="R2" s="556"/>
      <c r="S2" s="556"/>
      <c r="T2" s="261"/>
      <c r="U2" s="244"/>
      <c r="V2" s="233"/>
      <c r="W2" s="233"/>
      <c r="AS2" s="233"/>
      <c r="AT2" s="233"/>
      <c r="AU2" s="233"/>
      <c r="AV2" s="233"/>
      <c r="AW2" s="233"/>
      <c r="AX2" s="233"/>
    </row>
    <row r="3" spans="1:50">
      <c r="A3" s="233"/>
      <c r="B3" s="236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44"/>
      <c r="V3" s="233"/>
      <c r="W3" s="233"/>
      <c r="AS3" s="233"/>
      <c r="AT3" s="233"/>
      <c r="AU3" s="233"/>
      <c r="AV3" s="233"/>
      <c r="AW3" s="233"/>
      <c r="AX3" s="233"/>
    </row>
    <row r="4" spans="1:50" ht="15">
      <c r="A4" s="233"/>
      <c r="B4" s="236"/>
      <c r="C4" s="257" t="s">
        <v>51</v>
      </c>
      <c r="D4" s="237"/>
      <c r="E4" s="241"/>
      <c r="F4" s="548" t="str">
        <f>'Cálculo de consumo'!E4</f>
        <v>Prueba</v>
      </c>
      <c r="G4" s="548"/>
      <c r="H4" s="548"/>
      <c r="I4" s="237"/>
      <c r="J4" s="237"/>
      <c r="K4" s="237"/>
      <c r="L4" s="237"/>
      <c r="M4" s="237" t="s">
        <v>52</v>
      </c>
      <c r="N4" s="237"/>
      <c r="O4" s="237"/>
      <c r="P4" s="557" t="str">
        <f>'Cálculo de consumo'!J4</f>
        <v>Prueba</v>
      </c>
      <c r="Q4" s="557"/>
      <c r="R4" s="557"/>
      <c r="S4" s="557"/>
      <c r="T4" s="262"/>
      <c r="U4" s="244"/>
      <c r="V4" s="233"/>
      <c r="W4" s="233"/>
      <c r="AS4" s="233"/>
      <c r="AT4" s="233"/>
      <c r="AU4" s="233"/>
      <c r="AV4" s="233"/>
      <c r="AW4" s="233"/>
      <c r="AX4" s="233"/>
    </row>
    <row r="5" spans="1:50" ht="20.25">
      <c r="A5" s="233"/>
      <c r="B5" s="236"/>
      <c r="C5" s="296" t="s">
        <v>443</v>
      </c>
      <c r="D5" s="239"/>
      <c r="E5" s="239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44"/>
      <c r="V5" s="233"/>
      <c r="W5" s="233"/>
      <c r="AS5" s="233"/>
      <c r="AT5" s="233"/>
      <c r="AU5" s="233"/>
      <c r="AV5" s="233"/>
      <c r="AW5" s="233"/>
      <c r="AX5" s="233"/>
    </row>
    <row r="6" spans="1:50">
      <c r="A6" s="233"/>
      <c r="B6" s="236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58"/>
      <c r="O6" s="258"/>
      <c r="P6" s="238"/>
      <c r="Q6" s="238"/>
      <c r="R6" s="238"/>
      <c r="S6" s="238"/>
      <c r="T6" s="238"/>
      <c r="U6" s="244"/>
      <c r="V6" s="233"/>
      <c r="W6" s="233"/>
      <c r="AS6" s="233"/>
      <c r="AT6" s="233"/>
      <c r="AU6" s="233"/>
      <c r="AV6" s="233"/>
      <c r="AW6" s="233"/>
      <c r="AX6" s="233"/>
    </row>
    <row r="7" spans="1:50" ht="18" customHeight="1">
      <c r="A7" s="233"/>
      <c r="B7" s="236"/>
      <c r="C7" s="561" t="s">
        <v>442</v>
      </c>
      <c r="D7" s="561"/>
      <c r="E7" s="562"/>
      <c r="F7" s="561"/>
      <c r="G7" s="573"/>
      <c r="H7" s="238"/>
      <c r="I7" s="233"/>
      <c r="J7" s="233"/>
      <c r="K7" s="233"/>
      <c r="L7" s="233"/>
      <c r="M7" s="233"/>
      <c r="N7" s="258"/>
      <c r="O7" s="259" t="s">
        <v>13</v>
      </c>
      <c r="P7" s="109" t="s">
        <v>77</v>
      </c>
      <c r="Q7" s="264"/>
      <c r="R7" s="259" t="s">
        <v>14</v>
      </c>
      <c r="S7" s="171">
        <f>VLOOKUP(P20,Radiación!A3:O71,15,FALSE)</f>
        <v>37.880000000000003</v>
      </c>
      <c r="T7" s="238"/>
      <c r="U7" s="244"/>
      <c r="V7" s="233"/>
      <c r="W7" s="233"/>
      <c r="AS7" s="233"/>
      <c r="AT7" s="233"/>
      <c r="AU7" s="233"/>
      <c r="AV7" s="233"/>
      <c r="AW7" s="233"/>
      <c r="AX7" s="233"/>
    </row>
    <row r="8" spans="1:50" ht="14.25" customHeight="1">
      <c r="A8" s="233"/>
      <c r="B8" s="236"/>
      <c r="C8" s="561"/>
      <c r="D8" s="561"/>
      <c r="E8" s="562"/>
      <c r="F8" s="561"/>
      <c r="G8" s="574"/>
      <c r="H8" s="238"/>
      <c r="I8" s="238"/>
      <c r="J8" s="238"/>
      <c r="K8" s="238"/>
      <c r="L8" s="238"/>
      <c r="M8" s="238"/>
      <c r="N8" s="258"/>
      <c r="O8" s="260"/>
      <c r="P8" s="264"/>
      <c r="Q8" s="264"/>
      <c r="R8" s="260"/>
      <c r="S8" s="265"/>
      <c r="T8" s="238"/>
      <c r="U8" s="244"/>
      <c r="V8" s="233"/>
      <c r="W8" s="233"/>
      <c r="AS8" s="233"/>
      <c r="AT8" s="233"/>
      <c r="AU8" s="233"/>
      <c r="AV8" s="233"/>
      <c r="AW8" s="233"/>
      <c r="AX8" s="233"/>
    </row>
    <row r="9" spans="1:50" ht="15" customHeight="1">
      <c r="A9" s="233"/>
      <c r="B9" s="236"/>
      <c r="C9" s="561"/>
      <c r="D9" s="561"/>
      <c r="E9" s="562"/>
      <c r="F9" s="561"/>
      <c r="G9" s="574"/>
      <c r="H9" s="238"/>
      <c r="I9" s="238"/>
      <c r="J9" s="238"/>
      <c r="K9" s="238"/>
      <c r="L9" s="238"/>
      <c r="M9" s="238"/>
      <c r="N9" s="238"/>
      <c r="O9" s="233"/>
      <c r="P9" s="233"/>
      <c r="Q9" s="233"/>
      <c r="R9" s="238"/>
      <c r="S9" s="238"/>
      <c r="T9" s="238"/>
      <c r="U9" s="244"/>
      <c r="V9" s="233"/>
      <c r="W9" s="233"/>
      <c r="AS9" s="233"/>
      <c r="AT9" s="233"/>
      <c r="AU9" s="233"/>
      <c r="AV9" s="233"/>
      <c r="AW9" s="233"/>
      <c r="AX9" s="233"/>
    </row>
    <row r="10" spans="1:50" ht="15" hidden="1" customHeight="1" outlineLevel="1">
      <c r="A10" s="233"/>
      <c r="B10" s="236"/>
      <c r="C10" s="583" t="s">
        <v>503</v>
      </c>
      <c r="D10" s="583"/>
      <c r="E10" s="570">
        <v>48</v>
      </c>
      <c r="F10" s="421"/>
      <c r="G10" s="419"/>
      <c r="H10" s="238"/>
      <c r="I10" s="238"/>
      <c r="J10" s="238"/>
      <c r="K10" s="238"/>
      <c r="L10" s="238"/>
      <c r="M10" s="238"/>
      <c r="N10" s="238"/>
      <c r="O10" s="233"/>
      <c r="P10" s="233"/>
      <c r="Q10" s="233"/>
      <c r="R10" s="238"/>
      <c r="S10" s="238"/>
      <c r="T10" s="238"/>
      <c r="U10" s="244"/>
      <c r="V10" s="233"/>
      <c r="W10" s="233"/>
      <c r="AS10" s="233"/>
      <c r="AT10" s="233"/>
      <c r="AU10" s="233"/>
      <c r="AV10" s="233"/>
      <c r="AW10" s="233"/>
      <c r="AX10" s="233"/>
    </row>
    <row r="11" spans="1:50" ht="15" hidden="1" customHeight="1" outlineLevel="1">
      <c r="A11" s="233"/>
      <c r="B11" s="236"/>
      <c r="C11" s="583"/>
      <c r="D11" s="583"/>
      <c r="E11" s="570"/>
      <c r="F11" s="421"/>
      <c r="G11" s="419"/>
      <c r="H11" s="238"/>
      <c r="I11" s="238"/>
      <c r="J11" s="238"/>
      <c r="K11" s="238"/>
      <c r="L11" s="238"/>
      <c r="M11" s="238"/>
      <c r="N11" s="238"/>
      <c r="O11" s="233"/>
      <c r="P11" s="233"/>
      <c r="Q11" s="233"/>
      <c r="R11" s="238"/>
      <c r="S11" s="238"/>
      <c r="T11" s="238"/>
      <c r="U11" s="244"/>
      <c r="V11" s="233"/>
      <c r="W11" s="233"/>
      <c r="AS11" s="233"/>
      <c r="AT11" s="233"/>
      <c r="AU11" s="233"/>
      <c r="AV11" s="233"/>
      <c r="AW11" s="233"/>
      <c r="AX11" s="233"/>
    </row>
    <row r="12" spans="1:50" ht="15" hidden="1" customHeight="1" outlineLevel="1">
      <c r="A12" s="233"/>
      <c r="B12" s="236"/>
      <c r="C12" s="583"/>
      <c r="D12" s="583"/>
      <c r="E12" s="570"/>
      <c r="F12" s="421"/>
      <c r="G12" s="419"/>
      <c r="H12" s="238"/>
      <c r="I12" s="238"/>
      <c r="J12" s="238"/>
      <c r="K12" s="238"/>
      <c r="L12" s="238"/>
      <c r="M12" s="238"/>
      <c r="N12" s="238"/>
      <c r="O12" s="233"/>
      <c r="P12" s="233"/>
      <c r="Q12" s="233"/>
      <c r="R12" s="238"/>
      <c r="S12" s="238"/>
      <c r="T12" s="238"/>
      <c r="U12" s="244"/>
      <c r="V12" s="233"/>
      <c r="W12" s="233"/>
      <c r="AS12" s="233"/>
      <c r="AT12" s="233"/>
      <c r="AU12" s="233"/>
      <c r="AV12" s="233"/>
      <c r="AW12" s="233"/>
      <c r="AX12" s="233"/>
    </row>
    <row r="13" spans="1:50" ht="15" hidden="1" customHeight="1" outlineLevel="1">
      <c r="A13" s="233"/>
      <c r="B13" s="236"/>
      <c r="C13" s="569" t="s">
        <v>504</v>
      </c>
      <c r="D13" s="569"/>
      <c r="E13" s="570">
        <v>18</v>
      </c>
      <c r="F13" s="421"/>
      <c r="G13" s="419"/>
      <c r="H13" s="238"/>
      <c r="I13" s="238"/>
      <c r="J13" s="238"/>
      <c r="K13" s="238"/>
      <c r="L13" s="238"/>
      <c r="M13" s="238"/>
      <c r="N13" s="238"/>
      <c r="O13" s="233"/>
      <c r="P13" s="233"/>
      <c r="Q13" s="233"/>
      <c r="R13" s="238"/>
      <c r="S13" s="238"/>
      <c r="T13" s="238"/>
      <c r="U13" s="244"/>
      <c r="V13" s="233"/>
      <c r="W13" s="233"/>
      <c r="AS13" s="233"/>
      <c r="AT13" s="233"/>
      <c r="AU13" s="233"/>
      <c r="AV13" s="233"/>
      <c r="AW13" s="233"/>
      <c r="AX13" s="233"/>
    </row>
    <row r="14" spans="1:50" ht="15" hidden="1" customHeight="1" outlineLevel="1">
      <c r="A14" s="233"/>
      <c r="B14" s="236"/>
      <c r="C14" s="569"/>
      <c r="D14" s="569"/>
      <c r="E14" s="570"/>
      <c r="F14" s="421"/>
      <c r="G14" s="420"/>
      <c r="H14" s="238"/>
      <c r="I14" s="238"/>
      <c r="J14" s="238"/>
      <c r="K14" s="238"/>
      <c r="L14" s="238"/>
      <c r="M14" s="238"/>
      <c r="N14" s="238"/>
      <c r="O14" s="233"/>
      <c r="P14" s="233"/>
      <c r="Q14" s="233"/>
      <c r="R14" s="238"/>
      <c r="S14" s="238"/>
      <c r="T14" s="238"/>
      <c r="U14" s="244"/>
      <c r="V14" s="233"/>
      <c r="W14" s="233"/>
      <c r="AS14" s="233"/>
      <c r="AT14" s="233"/>
      <c r="AU14" s="233"/>
      <c r="AV14" s="233"/>
      <c r="AW14" s="233"/>
      <c r="AX14" s="233"/>
    </row>
    <row r="15" spans="1:50" ht="15" hidden="1" customHeight="1" outlineLevel="1">
      <c r="A15" s="233"/>
      <c r="B15" s="236"/>
      <c r="C15" s="569"/>
      <c r="D15" s="569"/>
      <c r="E15" s="570"/>
      <c r="F15" s="421"/>
      <c r="G15" s="420"/>
      <c r="H15" s="238"/>
      <c r="I15" s="238"/>
      <c r="J15" s="238"/>
      <c r="K15" s="238"/>
      <c r="L15" s="238"/>
      <c r="M15" s="238"/>
      <c r="N15" s="238"/>
      <c r="O15" s="233"/>
      <c r="P15" s="233"/>
      <c r="Q15" s="233"/>
      <c r="R15" s="238"/>
      <c r="S15" s="238"/>
      <c r="T15" s="238"/>
      <c r="U15" s="244"/>
      <c r="V15" s="233"/>
      <c r="W15" s="233"/>
      <c r="AS15" s="233"/>
      <c r="AT15" s="233"/>
      <c r="AU15" s="233"/>
      <c r="AV15" s="233"/>
      <c r="AW15" s="233"/>
      <c r="AX15" s="233"/>
    </row>
    <row r="16" spans="1:50" ht="15" hidden="1" customHeight="1" outlineLevel="1">
      <c r="A16" s="233"/>
      <c r="B16" s="236"/>
      <c r="C16" s="569" t="s">
        <v>505</v>
      </c>
      <c r="D16" s="569"/>
      <c r="E16" s="570">
        <v>350</v>
      </c>
      <c r="F16" s="421"/>
      <c r="G16" s="420"/>
      <c r="H16" s="238"/>
      <c r="I16" s="238"/>
      <c r="J16" s="238"/>
      <c r="K16" s="238"/>
      <c r="L16" s="238"/>
      <c r="M16" s="238"/>
      <c r="N16" s="238"/>
      <c r="O16" s="233"/>
      <c r="P16" s="233"/>
      <c r="Q16" s="233"/>
      <c r="R16" s="238"/>
      <c r="S16" s="238"/>
      <c r="T16" s="238"/>
      <c r="U16" s="244"/>
      <c r="V16" s="233"/>
      <c r="W16" s="233"/>
      <c r="AS16" s="233"/>
      <c r="AT16" s="233"/>
      <c r="AU16" s="233"/>
      <c r="AV16" s="233"/>
      <c r="AW16" s="233"/>
      <c r="AX16" s="233"/>
    </row>
    <row r="17" spans="1:50" ht="15" hidden="1" customHeight="1" outlineLevel="1">
      <c r="A17" s="233"/>
      <c r="B17" s="236"/>
      <c r="C17" s="569"/>
      <c r="D17" s="569"/>
      <c r="E17" s="570"/>
      <c r="F17" s="421"/>
      <c r="G17" s="420"/>
      <c r="H17" s="238"/>
      <c r="I17" s="238"/>
      <c r="J17" s="238"/>
      <c r="K17" s="238"/>
      <c r="L17" s="238"/>
      <c r="M17" s="238"/>
      <c r="N17" s="238"/>
      <c r="O17" s="233"/>
      <c r="P17" s="233"/>
      <c r="Q17" s="233"/>
      <c r="R17" s="238"/>
      <c r="S17" s="238"/>
      <c r="T17" s="238"/>
      <c r="U17" s="244"/>
      <c r="V17" s="233"/>
      <c r="W17" s="233"/>
      <c r="AS17" s="233"/>
      <c r="AT17" s="233"/>
      <c r="AU17" s="233"/>
      <c r="AV17" s="233"/>
      <c r="AW17" s="233"/>
      <c r="AX17" s="233"/>
    </row>
    <row r="18" spans="1:50" ht="15" hidden="1" customHeight="1" outlineLevel="1">
      <c r="A18" s="233"/>
      <c r="B18" s="236"/>
      <c r="C18" s="569"/>
      <c r="D18" s="569"/>
      <c r="E18" s="570"/>
      <c r="F18" s="421"/>
      <c r="G18" s="420"/>
      <c r="H18" s="238"/>
      <c r="I18" s="238"/>
      <c r="J18" s="238"/>
      <c r="K18" s="238"/>
      <c r="L18" s="238"/>
      <c r="M18" s="238"/>
      <c r="N18" s="238"/>
      <c r="O18" s="233"/>
      <c r="P18" s="233"/>
      <c r="Q18" s="233"/>
      <c r="R18" s="238"/>
      <c r="S18" s="238"/>
      <c r="T18" s="238"/>
      <c r="U18" s="244"/>
      <c r="V18" s="233"/>
      <c r="W18" s="233"/>
      <c r="AS18" s="233"/>
      <c r="AT18" s="233"/>
      <c r="AU18" s="233"/>
      <c r="AV18" s="233"/>
      <c r="AW18" s="233"/>
      <c r="AX18" s="233"/>
    </row>
    <row r="19" spans="1:50" ht="15.75" customHeight="1" collapsed="1">
      <c r="A19" s="233"/>
      <c r="B19" s="236"/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  <c r="U19" s="244"/>
      <c r="V19" s="233"/>
      <c r="W19" s="233"/>
      <c r="AS19" s="233"/>
      <c r="AT19" s="233"/>
      <c r="AU19" s="233"/>
      <c r="AV19" s="233"/>
      <c r="AW19" s="233"/>
      <c r="AX19" s="233"/>
    </row>
    <row r="20" spans="1:50" ht="8.25" hidden="1" customHeight="1">
      <c r="A20" s="233"/>
      <c r="B20" s="236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>
        <v>1</v>
      </c>
      <c r="P20" s="238">
        <v>19</v>
      </c>
      <c r="Q20" s="238"/>
      <c r="R20" s="238"/>
      <c r="S20" s="238"/>
      <c r="T20" s="238"/>
      <c r="U20" s="244"/>
      <c r="V20" s="233"/>
      <c r="W20" s="233"/>
      <c r="AS20" s="233"/>
      <c r="AT20" s="233"/>
      <c r="AU20" s="233"/>
      <c r="AV20" s="233"/>
      <c r="AW20" s="233"/>
      <c r="AX20" s="233"/>
    </row>
    <row r="21" spans="1:50" ht="15.75" customHeight="1">
      <c r="A21" s="233"/>
      <c r="B21" s="236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44"/>
      <c r="V21" s="233"/>
      <c r="W21" s="233"/>
      <c r="AS21" s="233"/>
      <c r="AT21" s="233"/>
      <c r="AU21" s="233"/>
      <c r="AV21" s="233"/>
      <c r="AW21" s="233"/>
      <c r="AX21" s="233"/>
    </row>
    <row r="22" spans="1:50" ht="19.5" customHeight="1" thickBot="1">
      <c r="A22" s="233"/>
      <c r="B22" s="236"/>
      <c r="C22" s="238"/>
      <c r="D22" s="238"/>
      <c r="E22" s="238"/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  <c r="U22" s="244"/>
      <c r="V22" s="233"/>
      <c r="W22" s="233"/>
      <c r="AS22" s="233"/>
      <c r="AT22" s="233"/>
      <c r="AU22" s="233"/>
      <c r="AV22" s="233"/>
      <c r="AW22" s="233"/>
      <c r="AX22" s="233"/>
    </row>
    <row r="23" spans="1:50" ht="19.5" customHeight="1" thickTop="1" thickBot="1">
      <c r="A23" s="233"/>
      <c r="B23" s="236"/>
      <c r="C23" s="233"/>
      <c r="D23" s="263"/>
      <c r="E23" s="230"/>
      <c r="F23" s="233"/>
      <c r="G23" s="260" t="s">
        <v>432</v>
      </c>
      <c r="H23" s="171">
        <v>34</v>
      </c>
      <c r="I23" s="233"/>
      <c r="J23" s="233"/>
      <c r="K23" s="233"/>
      <c r="L23" s="233"/>
      <c r="M23" s="233"/>
      <c r="N23" s="238"/>
      <c r="O23" s="238"/>
      <c r="P23" s="238"/>
      <c r="Q23" s="238"/>
      <c r="R23" s="233"/>
      <c r="S23" s="233"/>
      <c r="T23" s="233"/>
      <c r="U23" s="244"/>
      <c r="V23" s="233"/>
      <c r="W23" s="580" t="s">
        <v>325</v>
      </c>
      <c r="X23" s="581"/>
      <c r="Y23" s="582"/>
      <c r="Z23" s="575">
        <f>P24</f>
        <v>29.837199999999999</v>
      </c>
      <c r="AA23" s="576"/>
      <c r="AB23" s="3"/>
      <c r="AC23" s="3"/>
      <c r="AD23" s="580" t="s">
        <v>325</v>
      </c>
      <c r="AE23" s="581"/>
      <c r="AF23" s="582"/>
      <c r="AG23" s="575">
        <f>P28</f>
        <v>52.88</v>
      </c>
      <c r="AH23" s="576"/>
      <c r="AK23" s="580" t="s">
        <v>325</v>
      </c>
      <c r="AL23" s="581"/>
      <c r="AM23" s="582"/>
      <c r="AN23" s="575">
        <f>T24</f>
        <v>17.880000000000003</v>
      </c>
      <c r="AO23" s="576"/>
      <c r="AS23" s="233"/>
      <c r="AT23" s="233"/>
      <c r="AU23" s="233"/>
      <c r="AV23" s="233"/>
      <c r="AW23" s="233"/>
      <c r="AX23" s="233"/>
    </row>
    <row r="24" spans="1:50" ht="47.1" customHeight="1" thickTop="1" thickBot="1">
      <c r="A24" s="233"/>
      <c r="B24" s="236"/>
      <c r="C24" s="238"/>
      <c r="D24" s="172" t="s">
        <v>15</v>
      </c>
      <c r="E24" s="231" t="s">
        <v>444</v>
      </c>
      <c r="F24" s="170" t="str">
        <f>IF($O$20=2,"","Consumo Total Corregido Ah/día")</f>
        <v>Consumo Total Corregido Ah/día</v>
      </c>
      <c r="G24" s="170" t="s">
        <v>408</v>
      </c>
      <c r="H24" s="168" t="s">
        <v>224</v>
      </c>
      <c r="I24" s="233"/>
      <c r="J24" s="233"/>
      <c r="K24" s="233"/>
      <c r="L24" s="233"/>
      <c r="M24" s="233"/>
      <c r="N24" s="563" t="s">
        <v>435</v>
      </c>
      <c r="O24" s="564"/>
      <c r="P24" s="529">
        <f>3.7+(0.69*S7)</f>
        <v>29.837199999999999</v>
      </c>
      <c r="Q24" s="523"/>
      <c r="R24" s="567" t="s">
        <v>447</v>
      </c>
      <c r="S24" s="568"/>
      <c r="T24" s="530">
        <f>S7-20</f>
        <v>17.880000000000003</v>
      </c>
      <c r="U24" s="522"/>
      <c r="V24" s="233"/>
      <c r="W24" s="162" t="s">
        <v>15</v>
      </c>
      <c r="X24" s="163" t="s">
        <v>28</v>
      </c>
      <c r="Y24" s="164" t="s">
        <v>28</v>
      </c>
      <c r="Z24" s="164" t="s">
        <v>408</v>
      </c>
      <c r="AA24" s="165" t="s">
        <v>224</v>
      </c>
      <c r="AB24" s="3"/>
      <c r="AC24" s="3"/>
      <c r="AD24" s="162" t="s">
        <v>15</v>
      </c>
      <c r="AE24" s="163" t="s">
        <v>28</v>
      </c>
      <c r="AF24" s="164" t="s">
        <v>28</v>
      </c>
      <c r="AG24" s="164" t="s">
        <v>408</v>
      </c>
      <c r="AH24" s="165" t="s">
        <v>224</v>
      </c>
      <c r="AK24" s="162" t="s">
        <v>15</v>
      </c>
      <c r="AL24" s="163" t="s">
        <v>28</v>
      </c>
      <c r="AM24" s="164" t="s">
        <v>28</v>
      </c>
      <c r="AN24" s="164" t="s">
        <v>408</v>
      </c>
      <c r="AO24" s="165" t="s">
        <v>224</v>
      </c>
      <c r="AS24" s="233"/>
      <c r="AT24" s="233"/>
      <c r="AU24" s="233"/>
      <c r="AV24" s="233"/>
      <c r="AW24" s="233"/>
      <c r="AX24" s="233"/>
    </row>
    <row r="25" spans="1:50" ht="30" customHeight="1" thickBot="1">
      <c r="A25" s="233"/>
      <c r="B25" s="236"/>
      <c r="C25" s="233"/>
      <c r="D25" s="169" t="s">
        <v>16</v>
      </c>
      <c r="E25" s="218"/>
      <c r="F25" s="173">
        <f>IF($O$20=2,"",'Cálculo de consumo'!$K$34)</f>
        <v>1932.2114810836617</v>
      </c>
      <c r="G25" s="174">
        <f>Radiación!C123/31/86.01</f>
        <v>4.1042583365239427</v>
      </c>
      <c r="H25" s="173">
        <f t="shared" ref="H25:H36" si="0">IF($O$20=2,E25/G25,F25/G25)</f>
        <v>470.78212984032757</v>
      </c>
      <c r="I25" s="331">
        <f>E25</f>
        <v>0</v>
      </c>
      <c r="J25" s="266">
        <f>G25</f>
        <v>4.1042583365239427</v>
      </c>
      <c r="K25" s="233" t="str">
        <f>D25</f>
        <v>Enero</v>
      </c>
      <c r="L25" s="233">
        <f>G25*31</f>
        <v>127.23200843224222</v>
      </c>
      <c r="M25" s="233"/>
      <c r="N25" s="182" t="s">
        <v>29</v>
      </c>
      <c r="O25" s="194" t="s">
        <v>224</v>
      </c>
      <c r="P25" s="194" t="s">
        <v>446</v>
      </c>
      <c r="Q25" s="524"/>
      <c r="R25" s="184" t="s">
        <v>29</v>
      </c>
      <c r="S25" s="185" t="s">
        <v>224</v>
      </c>
      <c r="T25" s="184" t="s">
        <v>445</v>
      </c>
      <c r="U25" s="522"/>
      <c r="V25" s="233"/>
      <c r="W25" s="53" t="s">
        <v>16</v>
      </c>
      <c r="X25" s="158">
        <f>E25</f>
        <v>0</v>
      </c>
      <c r="Y25" s="160">
        <f t="shared" ref="Y25:Y36" si="1">F25</f>
        <v>1932.2114810836617</v>
      </c>
      <c r="Z25" s="161">
        <f>Radiación!C176/31/86.01</f>
        <v>3.9779941065651729</v>
      </c>
      <c r="AA25" s="160">
        <f t="shared" ref="AA25:AA36" si="2">IF($O$20=2,X25/Z25,Y25/Z25)</f>
        <v>485.72507382421526</v>
      </c>
      <c r="AB25" s="253">
        <f>Z25</f>
        <v>3.9779941065651729</v>
      </c>
      <c r="AC25" s="232" t="s">
        <v>16</v>
      </c>
      <c r="AD25" s="53" t="s">
        <v>16</v>
      </c>
      <c r="AE25" s="158">
        <f>E25</f>
        <v>0</v>
      </c>
      <c r="AF25" s="160">
        <f t="shared" ref="AF25:AF36" si="3">F25</f>
        <v>1932.2114810836617</v>
      </c>
      <c r="AG25" s="161">
        <f>Radiación!C229/31/86.01</f>
        <v>4.4539934038114639</v>
      </c>
      <c r="AH25" s="160">
        <f t="shared" ref="AH25:AH36" si="4">IF($O$20=2,AE25/AG25,AF25/AG25)</f>
        <v>433.81552371186484</v>
      </c>
      <c r="AI25" s="254">
        <f>AG25</f>
        <v>4.4539934038114639</v>
      </c>
      <c r="AJ25" s="181" t="s">
        <v>16</v>
      </c>
      <c r="AK25" s="53" t="s">
        <v>16</v>
      </c>
      <c r="AL25" s="158">
        <f>E25</f>
        <v>0</v>
      </c>
      <c r="AM25" s="160">
        <f>F25</f>
        <v>1932.2114810836617</v>
      </c>
      <c r="AN25" s="161">
        <f>Radiación!C279/31/86.01</f>
        <v>3.5263097519314739</v>
      </c>
      <c r="AO25" s="160">
        <f t="shared" ref="AO25:AO36" si="5">IF($O$20=2,AL25/AN25,AM25/AN25)</f>
        <v>547.94150741446549</v>
      </c>
      <c r="AP25" s="255">
        <f>AN25</f>
        <v>3.5263097519314739</v>
      </c>
      <c r="AQ25" s="181" t="s">
        <v>16</v>
      </c>
      <c r="AR25" s="491"/>
      <c r="AS25" s="233"/>
      <c r="AT25" s="233"/>
      <c r="AU25" s="233"/>
      <c r="AV25" s="233"/>
      <c r="AW25" s="233"/>
      <c r="AX25" s="233"/>
    </row>
    <row r="26" spans="1:50" ht="30" customHeight="1" thickBot="1">
      <c r="A26" s="233"/>
      <c r="B26" s="236"/>
      <c r="C26" s="233"/>
      <c r="D26" s="169" t="s">
        <v>17</v>
      </c>
      <c r="E26" s="175"/>
      <c r="F26" s="173">
        <f>IF($O$20=2,"",'Cálculo de consumo'!$K$34)</f>
        <v>1932.2114810836617</v>
      </c>
      <c r="G26" s="174">
        <f>Radiación!D123/28/86.01</f>
        <v>4.4599573453200128</v>
      </c>
      <c r="H26" s="173">
        <f t="shared" si="0"/>
        <v>433.23541717527814</v>
      </c>
      <c r="I26" s="331">
        <f t="shared" ref="I26:I36" si="6">E26</f>
        <v>0</v>
      </c>
      <c r="J26" s="266">
        <f t="shared" ref="J26:J36" si="7">G26</f>
        <v>4.4599573453200128</v>
      </c>
      <c r="K26" s="233" t="str">
        <f t="shared" ref="K26:K36" si="8">D26</f>
        <v>Febrero</v>
      </c>
      <c r="L26" s="233">
        <f>G26*28</f>
        <v>124.87880566896035</v>
      </c>
      <c r="M26" s="233"/>
      <c r="N26" s="186">
        <f>IF(O26=0,"",IF($O$20=2,VLOOKUP(O26,AA25:AC36,2,FALSE),VLOOKUP(O26,AA25:AC36,2,FALSE)))</f>
        <v>3.4862216515981532</v>
      </c>
      <c r="O26" s="187">
        <f>MAX(AA25:AA36)</f>
        <v>554.24229271190995</v>
      </c>
      <c r="P26" s="187" t="str">
        <f>IF(O26=0,"",VLOOKUP(O26,AA25:AC36,3,FALSE))</f>
        <v>Diciembre</v>
      </c>
      <c r="Q26" s="525"/>
      <c r="R26" s="190">
        <f>IF(S26=0,"",IF($O$20=2,VLOOKUP(S26,AO25:AQ36,2,FALSE),VLOOKUP(S26,AO25:AQ36,2,FALSE)))</f>
        <v>5.833795825299732</v>
      </c>
      <c r="S26" s="191">
        <f>MAX(AO28:AO32)</f>
        <v>331.2099941352314</v>
      </c>
      <c r="T26" s="191" t="str">
        <f>IF(S26=0,"",VLOOKUP(S26,AO25:AQ36,3,FALSE))</f>
        <v>Abril</v>
      </c>
      <c r="U26" s="522"/>
      <c r="V26" s="233"/>
      <c r="W26" s="54" t="s">
        <v>17</v>
      </c>
      <c r="X26" s="166">
        <f>E26</f>
        <v>0</v>
      </c>
      <c r="Y26" s="160">
        <f t="shared" si="1"/>
        <v>1932.2114810836617</v>
      </c>
      <c r="Z26" s="161">
        <f>Radiación!D176/28/86.01</f>
        <v>4.3877908064885416</v>
      </c>
      <c r="AA26" s="160">
        <f t="shared" si="2"/>
        <v>440.36089373868094</v>
      </c>
      <c r="AB26" s="253">
        <f t="shared" ref="AB26:AB36" si="9">Z26</f>
        <v>4.3877908064885416</v>
      </c>
      <c r="AC26" s="232" t="s">
        <v>17</v>
      </c>
      <c r="AD26" s="54" t="s">
        <v>17</v>
      </c>
      <c r="AE26" s="166">
        <f>E26</f>
        <v>0</v>
      </c>
      <c r="AF26" s="160">
        <f t="shared" si="3"/>
        <v>1932.2114810836617</v>
      </c>
      <c r="AG26" s="161">
        <f>Radiación!D229/28/86.01</f>
        <v>4.5677278202535607</v>
      </c>
      <c r="AH26" s="160">
        <f t="shared" si="4"/>
        <v>423.01370771614893</v>
      </c>
      <c r="AI26" s="254">
        <f t="shared" ref="AI26:AI36" si="10">AG26</f>
        <v>4.5677278202535607</v>
      </c>
      <c r="AJ26" s="181" t="s">
        <v>17</v>
      </c>
      <c r="AK26" s="54" t="s">
        <v>17</v>
      </c>
      <c r="AL26" s="158">
        <f>E26</f>
        <v>0</v>
      </c>
      <c r="AM26" s="160">
        <f t="shared" ref="AM26:AM36" si="11">F26</f>
        <v>1932.2114810836617</v>
      </c>
      <c r="AN26" s="161">
        <f>Radiación!D279/31/86.01</f>
        <v>3.6928954925007385</v>
      </c>
      <c r="AO26" s="160">
        <f t="shared" si="5"/>
        <v>523.22398102179045</v>
      </c>
      <c r="AP26" s="255">
        <f t="shared" ref="AP26:AP36" si="12">AN26</f>
        <v>3.6928954925007385</v>
      </c>
      <c r="AQ26" s="181" t="s">
        <v>17</v>
      </c>
      <c r="AR26" s="491"/>
      <c r="AS26" s="233"/>
      <c r="AT26" s="233"/>
      <c r="AU26" s="233"/>
      <c r="AV26" s="233"/>
      <c r="AW26" s="233"/>
      <c r="AX26" s="233"/>
    </row>
    <row r="27" spans="1:50" ht="30" customHeight="1" thickBot="1">
      <c r="A27" s="233"/>
      <c r="B27" s="236"/>
      <c r="C27" s="233"/>
      <c r="D27" s="169" t="s">
        <v>18</v>
      </c>
      <c r="E27" s="175"/>
      <c r="F27" s="173">
        <f>IF($O$20=2,"",'Cálculo de consumo'!$K$34)</f>
        <v>1932.2114810836617</v>
      </c>
      <c r="G27" s="174">
        <f>(Radiación!E123/31)/86.01</f>
        <v>5.8322998456700654</v>
      </c>
      <c r="H27" s="173">
        <f t="shared" si="0"/>
        <v>331.29494919883916</v>
      </c>
      <c r="I27" s="331">
        <f t="shared" si="6"/>
        <v>0</v>
      </c>
      <c r="J27" s="266">
        <f t="shared" si="7"/>
        <v>5.8322998456700654</v>
      </c>
      <c r="K27" s="233" t="str">
        <f t="shared" si="8"/>
        <v>Marzo</v>
      </c>
      <c r="L27" s="233">
        <f>G27*31</f>
        <v>180.80129521577203</v>
      </c>
      <c r="M27" s="233"/>
      <c r="N27" s="238"/>
      <c r="O27" s="238"/>
      <c r="P27" s="267"/>
      <c r="Q27" s="238"/>
      <c r="R27" s="233"/>
      <c r="S27" s="233"/>
      <c r="T27" s="233"/>
      <c r="U27" s="244"/>
      <c r="V27" s="233"/>
      <c r="W27" s="54" t="s">
        <v>18</v>
      </c>
      <c r="X27" s="166">
        <f>E27</f>
        <v>0</v>
      </c>
      <c r="Y27" s="160">
        <f t="shared" si="1"/>
        <v>1932.2114810836617</v>
      </c>
      <c r="Z27" s="161">
        <f>Radiación!E176/31/86.01</f>
        <v>5.8015877267051277</v>
      </c>
      <c r="AA27" s="160">
        <f t="shared" si="2"/>
        <v>333.04873977679466</v>
      </c>
      <c r="AB27" s="253">
        <f t="shared" si="9"/>
        <v>5.8015877267051277</v>
      </c>
      <c r="AC27" s="232" t="s">
        <v>18</v>
      </c>
      <c r="AD27" s="54" t="s">
        <v>18</v>
      </c>
      <c r="AE27" s="166">
        <f>E27</f>
        <v>0</v>
      </c>
      <c r="AF27" s="160">
        <f t="shared" si="3"/>
        <v>1932.2114810836617</v>
      </c>
      <c r="AG27" s="161">
        <f>Radiación!E229/31/86.01</f>
        <v>5.686069852058754</v>
      </c>
      <c r="AH27" s="160">
        <f t="shared" si="4"/>
        <v>339.8149392034054</v>
      </c>
      <c r="AI27" s="254">
        <f t="shared" si="10"/>
        <v>5.686069852058754</v>
      </c>
      <c r="AJ27" s="181" t="s">
        <v>18</v>
      </c>
      <c r="AK27" s="54" t="s">
        <v>18</v>
      </c>
      <c r="AL27" s="158">
        <f>E27</f>
        <v>0</v>
      </c>
      <c r="AM27" s="160">
        <f t="shared" si="11"/>
        <v>1932.2114810836617</v>
      </c>
      <c r="AN27" s="161">
        <f>Radiación!E279/31/86.01</f>
        <v>5.5886102489534846</v>
      </c>
      <c r="AO27" s="160">
        <f t="shared" si="5"/>
        <v>345.74096152893912</v>
      </c>
      <c r="AP27" s="255">
        <f t="shared" si="12"/>
        <v>5.5886102489534846</v>
      </c>
      <c r="AQ27" s="181" t="s">
        <v>18</v>
      </c>
      <c r="AR27" s="491"/>
      <c r="AS27" s="233"/>
      <c r="AT27" s="233"/>
      <c r="AU27" s="233"/>
      <c r="AV27" s="233"/>
      <c r="AW27" s="233"/>
      <c r="AX27" s="233"/>
    </row>
    <row r="28" spans="1:50" ht="30" customHeight="1" thickBot="1">
      <c r="A28" s="233"/>
      <c r="B28" s="236"/>
      <c r="C28" s="233"/>
      <c r="D28" s="169" t="s">
        <v>19</v>
      </c>
      <c r="E28" s="175">
        <v>35</v>
      </c>
      <c r="F28" s="173">
        <f>IF($O$20=2,"",'Cálculo de consumo'!$K$34)</f>
        <v>1932.2114810836617</v>
      </c>
      <c r="G28" s="174">
        <f>Radiación!F123/30/86.01</f>
        <v>5.6942881844020521</v>
      </c>
      <c r="H28" s="173">
        <f t="shared" si="0"/>
        <v>339.32449825360573</v>
      </c>
      <c r="I28" s="331">
        <f t="shared" si="6"/>
        <v>35</v>
      </c>
      <c r="J28" s="266">
        <f t="shared" si="7"/>
        <v>5.6942881844020521</v>
      </c>
      <c r="K28" s="233" t="str">
        <f t="shared" si="8"/>
        <v>Abril</v>
      </c>
      <c r="L28" s="233">
        <f>G28*30</f>
        <v>170.82864553206156</v>
      </c>
      <c r="M28" s="233"/>
      <c r="N28" s="565" t="s">
        <v>436</v>
      </c>
      <c r="O28" s="566"/>
      <c r="P28" s="290">
        <f>S7+15</f>
        <v>52.88</v>
      </c>
      <c r="Q28" s="526"/>
      <c r="R28" s="571" t="s">
        <v>434</v>
      </c>
      <c r="S28" s="572"/>
      <c r="T28" s="531">
        <f>H23</f>
        <v>34</v>
      </c>
      <c r="U28" s="244"/>
      <c r="V28" s="233"/>
      <c r="W28" s="54" t="s">
        <v>19</v>
      </c>
      <c r="X28" s="166">
        <f t="shared" ref="X28:X36" si="13">E28</f>
        <v>35</v>
      </c>
      <c r="Y28" s="160">
        <f t="shared" si="1"/>
        <v>1932.2114810836617</v>
      </c>
      <c r="Z28" s="161">
        <f>Radiación!F176/30/86.01</f>
        <v>5.7592287338550321</v>
      </c>
      <c r="AA28" s="160">
        <f t="shared" si="2"/>
        <v>335.49830548062033</v>
      </c>
      <c r="AB28" s="253">
        <f t="shared" si="9"/>
        <v>5.7592287338550321</v>
      </c>
      <c r="AC28" s="232" t="s">
        <v>19</v>
      </c>
      <c r="AD28" s="54" t="s">
        <v>19</v>
      </c>
      <c r="AE28" s="166">
        <f t="shared" ref="AE28:AE36" si="14">E28</f>
        <v>35</v>
      </c>
      <c r="AF28" s="160">
        <f t="shared" si="3"/>
        <v>1932.2114810836617</v>
      </c>
      <c r="AG28" s="161">
        <f>Radiación!F229/30/86.01</f>
        <v>5.1602862700011825</v>
      </c>
      <c r="AH28" s="160">
        <f t="shared" si="4"/>
        <v>374.43881598514861</v>
      </c>
      <c r="AI28" s="254">
        <f t="shared" si="10"/>
        <v>5.1602862700011825</v>
      </c>
      <c r="AJ28" s="181" t="s">
        <v>19</v>
      </c>
      <c r="AK28" s="54" t="s">
        <v>19</v>
      </c>
      <c r="AL28" s="158">
        <f t="shared" ref="AL28:AL36" si="15">E28</f>
        <v>35</v>
      </c>
      <c r="AM28" s="160">
        <f t="shared" si="11"/>
        <v>1932.2114810836617</v>
      </c>
      <c r="AN28" s="161">
        <f>Radiación!F279/30/86.01</f>
        <v>5.833795825299732</v>
      </c>
      <c r="AO28" s="160">
        <f t="shared" si="5"/>
        <v>331.2099941352314</v>
      </c>
      <c r="AP28" s="255">
        <f t="shared" si="12"/>
        <v>5.833795825299732</v>
      </c>
      <c r="AQ28" s="181" t="s">
        <v>19</v>
      </c>
      <c r="AR28" s="491"/>
      <c r="AS28" s="233"/>
      <c r="AT28" s="233"/>
      <c r="AU28" s="233"/>
      <c r="AV28" s="233"/>
      <c r="AW28" s="233"/>
      <c r="AX28" s="233"/>
    </row>
    <row r="29" spans="1:50" ht="30" customHeight="1" thickBot="1">
      <c r="A29" s="233"/>
      <c r="B29" s="236"/>
      <c r="C29" s="233"/>
      <c r="D29" s="169" t="s">
        <v>20</v>
      </c>
      <c r="E29" s="175">
        <v>56</v>
      </c>
      <c r="F29" s="173">
        <f>IF($O$20=2,"",'Cálculo de consumo'!$K$34)</f>
        <v>1932.2114810836617</v>
      </c>
      <c r="G29" s="174">
        <f>Radiación!G123/31/86.01</f>
        <v>6.4217455700668129</v>
      </c>
      <c r="H29" s="173">
        <f t="shared" si="0"/>
        <v>300.88571090236428</v>
      </c>
      <c r="I29" s="331">
        <f t="shared" si="6"/>
        <v>56</v>
      </c>
      <c r="J29" s="266">
        <f t="shared" si="7"/>
        <v>6.4217455700668129</v>
      </c>
      <c r="K29" s="233" t="str">
        <f t="shared" si="8"/>
        <v>Mayo</v>
      </c>
      <c r="L29" s="233">
        <f>G29*31</f>
        <v>199.07411267207121</v>
      </c>
      <c r="M29" s="233"/>
      <c r="N29" s="183" t="s">
        <v>29</v>
      </c>
      <c r="O29" s="183" t="s">
        <v>224</v>
      </c>
      <c r="P29" s="291" t="s">
        <v>445</v>
      </c>
      <c r="Q29" s="527"/>
      <c r="R29" s="180" t="s">
        <v>29</v>
      </c>
      <c r="S29" s="180" t="s">
        <v>220</v>
      </c>
      <c r="T29" s="180" t="s">
        <v>445</v>
      </c>
      <c r="U29" s="244"/>
      <c r="V29" s="233"/>
      <c r="W29" s="54" t="s">
        <v>20</v>
      </c>
      <c r="X29" s="166">
        <f>E29</f>
        <v>56</v>
      </c>
      <c r="Y29" s="160">
        <f t="shared" si="1"/>
        <v>1932.2114810836617</v>
      </c>
      <c r="Z29" s="161">
        <f>Radiación!G176/31/86.01</f>
        <v>6.5636882079201264</v>
      </c>
      <c r="AA29" s="160">
        <f t="shared" si="2"/>
        <v>294.37892536579409</v>
      </c>
      <c r="AB29" s="253">
        <f t="shared" si="9"/>
        <v>6.5636882079201264</v>
      </c>
      <c r="AC29" s="232" t="s">
        <v>20</v>
      </c>
      <c r="AD29" s="54" t="s">
        <v>20</v>
      </c>
      <c r="AE29" s="166">
        <f>E29</f>
        <v>56</v>
      </c>
      <c r="AF29" s="160">
        <f t="shared" si="3"/>
        <v>1932.2114810836617</v>
      </c>
      <c r="AG29" s="161">
        <f>Radiación!G229/31/86.01</f>
        <v>5.5353544253674762</v>
      </c>
      <c r="AH29" s="160">
        <f t="shared" si="4"/>
        <v>349.06734647897235</v>
      </c>
      <c r="AI29" s="254">
        <f t="shared" si="10"/>
        <v>5.5353544253674762</v>
      </c>
      <c r="AJ29" s="181" t="s">
        <v>20</v>
      </c>
      <c r="AK29" s="54" t="s">
        <v>20</v>
      </c>
      <c r="AL29" s="158">
        <f>E29</f>
        <v>56</v>
      </c>
      <c r="AM29" s="160">
        <f t="shared" si="11"/>
        <v>1932.2114810836617</v>
      </c>
      <c r="AN29" s="161">
        <f>Radiación!G279/31/86.01</f>
        <v>6.8521781019485317</v>
      </c>
      <c r="AO29" s="160">
        <f t="shared" si="5"/>
        <v>281.98500569245346</v>
      </c>
      <c r="AP29" s="255">
        <f t="shared" si="12"/>
        <v>6.8521781019485317</v>
      </c>
      <c r="AQ29" s="181" t="s">
        <v>20</v>
      </c>
      <c r="AR29" s="491"/>
      <c r="AS29" s="233"/>
      <c r="AT29" s="233"/>
      <c r="AU29" s="233"/>
      <c r="AV29" s="233"/>
      <c r="AW29" s="233"/>
      <c r="AX29" s="233"/>
    </row>
    <row r="30" spans="1:50" ht="30" customHeight="1" thickBot="1">
      <c r="A30" s="233"/>
      <c r="B30" s="236"/>
      <c r="C30" s="233"/>
      <c r="D30" s="169" t="s">
        <v>21</v>
      </c>
      <c r="E30" s="175">
        <v>58</v>
      </c>
      <c r="F30" s="173">
        <f>IF($O$20=2,"",'Cálculo de consumo'!$K$34)</f>
        <v>1932.2114810836617</v>
      </c>
      <c r="G30" s="174">
        <f>Radiación!H123/30/86.01</f>
        <v>6.6919389470556254</v>
      </c>
      <c r="H30" s="173">
        <f t="shared" si="0"/>
        <v>288.73716517300448</v>
      </c>
      <c r="I30" s="331">
        <f t="shared" si="6"/>
        <v>58</v>
      </c>
      <c r="J30" s="266">
        <f t="shared" si="7"/>
        <v>6.6919389470556254</v>
      </c>
      <c r="K30" s="233" t="str">
        <f t="shared" si="8"/>
        <v>Junio</v>
      </c>
      <c r="L30" s="233">
        <f>G30*30</f>
        <v>200.75816841166875</v>
      </c>
      <c r="M30" s="233"/>
      <c r="N30" s="188">
        <f>IF(O30=0,"",IF($O$20=2,VLOOKUP(O30,AH25:AJ36,2,FALSE),VLOOKUP(O30,AH25:AJ36,2,FALSE)))</f>
        <v>3.9425637009521761</v>
      </c>
      <c r="O30" s="189">
        <f>MAX(AH25,AH35,AH36)</f>
        <v>490.09011081216255</v>
      </c>
      <c r="P30" s="189" t="str">
        <f>IF(O30=0,"",VLOOKUP(O30,AH25:AJ36,3,FALSE))</f>
        <v>Diciembre</v>
      </c>
      <c r="Q30" s="528"/>
      <c r="R30" s="192">
        <f>IF(S30=0,"",IF($O$20=2,VLOOKUP(S30,H25:K36,3,FALSE),VLOOKUP(S30,H25:K36,3,FALSE)))</f>
        <v>3.6039448742820293</v>
      </c>
      <c r="S30" s="193">
        <f>MAX(H25:H36)</f>
        <v>536.13791233934819</v>
      </c>
      <c r="T30" s="193" t="str">
        <f>IF(S30=0,"",VLOOKUP(S30,H25:K36,4,FALSE))</f>
        <v>Diciembre</v>
      </c>
      <c r="U30" s="244"/>
      <c r="V30" s="233"/>
      <c r="W30" s="54" t="s">
        <v>21</v>
      </c>
      <c r="X30" s="166">
        <f>E30</f>
        <v>58</v>
      </c>
      <c r="Y30" s="160">
        <f t="shared" si="1"/>
        <v>1932.2114810836617</v>
      </c>
      <c r="Z30" s="161">
        <f>Radiación!H176/30/86.01</f>
        <v>6.8746738350145877</v>
      </c>
      <c r="AA30" s="160">
        <f t="shared" si="2"/>
        <v>281.06227691012509</v>
      </c>
      <c r="AB30" s="253">
        <f t="shared" si="9"/>
        <v>6.8746738350145877</v>
      </c>
      <c r="AC30" s="232" t="s">
        <v>21</v>
      </c>
      <c r="AD30" s="54" t="s">
        <v>21</v>
      </c>
      <c r="AE30" s="166">
        <f>E30</f>
        <v>58</v>
      </c>
      <c r="AF30" s="160">
        <f t="shared" si="3"/>
        <v>1932.2114810836617</v>
      </c>
      <c r="AG30" s="161">
        <f>Radiación!H229/30/86.01</f>
        <v>5.634454938426102</v>
      </c>
      <c r="AH30" s="160">
        <f t="shared" si="4"/>
        <v>342.92784345585613</v>
      </c>
      <c r="AI30" s="254">
        <f t="shared" si="10"/>
        <v>5.634454938426102</v>
      </c>
      <c r="AJ30" s="181" t="s">
        <v>21</v>
      </c>
      <c r="AK30" s="54" t="s">
        <v>21</v>
      </c>
      <c r="AL30" s="158">
        <f>E30</f>
        <v>58</v>
      </c>
      <c r="AM30" s="160">
        <f t="shared" si="11"/>
        <v>1932.2114810836617</v>
      </c>
      <c r="AN30" s="161">
        <f>Radiación!H279/30/86.01</f>
        <v>7.2835728886420616</v>
      </c>
      <c r="AO30" s="160">
        <f t="shared" si="5"/>
        <v>265.28346878998559</v>
      </c>
      <c r="AP30" s="255">
        <f t="shared" si="12"/>
        <v>7.2835728886420616</v>
      </c>
      <c r="AQ30" s="181" t="s">
        <v>21</v>
      </c>
      <c r="AR30" s="491"/>
      <c r="AS30" s="233"/>
      <c r="AT30" s="233"/>
      <c r="AU30" s="233"/>
      <c r="AV30" s="233"/>
      <c r="AW30" s="233"/>
      <c r="AX30" s="233"/>
    </row>
    <row r="31" spans="1:50" ht="30" customHeight="1" thickBot="1">
      <c r="A31" s="233"/>
      <c r="B31" s="236"/>
      <c r="C31" s="233"/>
      <c r="D31" s="169" t="s">
        <v>22</v>
      </c>
      <c r="E31" s="175">
        <v>32</v>
      </c>
      <c r="F31" s="173">
        <f>IF($O$20=2,"",'Cálculo de consumo'!$K$34)</f>
        <v>1932.2114810836617</v>
      </c>
      <c r="G31" s="174">
        <f>Radiación!I123/31/86.01</f>
        <v>7.1496875311251502</v>
      </c>
      <c r="H31" s="173">
        <f t="shared" si="0"/>
        <v>270.25117848466147</v>
      </c>
      <c r="I31" s="331">
        <f t="shared" si="6"/>
        <v>32</v>
      </c>
      <c r="J31" s="266">
        <f t="shared" si="7"/>
        <v>7.1496875311251502</v>
      </c>
      <c r="K31" s="233" t="str">
        <f t="shared" si="8"/>
        <v>Julio</v>
      </c>
      <c r="L31" s="233">
        <f>G31*31</f>
        <v>221.64031346487965</v>
      </c>
      <c r="M31" s="233"/>
      <c r="N31" s="238"/>
      <c r="O31" s="238"/>
      <c r="P31" s="238"/>
      <c r="Q31" s="238"/>
      <c r="R31" s="233"/>
      <c r="S31" s="233"/>
      <c r="T31" s="233"/>
      <c r="U31" s="244"/>
      <c r="V31" s="233"/>
      <c r="W31" s="54" t="s">
        <v>22</v>
      </c>
      <c r="X31" s="166">
        <f>E31</f>
        <v>32</v>
      </c>
      <c r="Y31" s="160">
        <f t="shared" si="1"/>
        <v>1932.2114810836617</v>
      </c>
      <c r="Z31" s="161">
        <f>Radiación!I176/31/86.01</f>
        <v>7.335228869782056</v>
      </c>
      <c r="AA31" s="160">
        <f t="shared" si="2"/>
        <v>263.41529560768447</v>
      </c>
      <c r="AB31" s="253">
        <f t="shared" si="9"/>
        <v>7.335228869782056</v>
      </c>
      <c r="AC31" s="232" t="s">
        <v>22</v>
      </c>
      <c r="AD31" s="54" t="s">
        <v>22</v>
      </c>
      <c r="AE31" s="166">
        <f>E31</f>
        <v>32</v>
      </c>
      <c r="AF31" s="160">
        <f t="shared" si="3"/>
        <v>1932.2114810836617</v>
      </c>
      <c r="AG31" s="161">
        <f>Radiación!I229/31/86.01</f>
        <v>6.0452585022442475</v>
      </c>
      <c r="AH31" s="160">
        <f t="shared" si="4"/>
        <v>319.62429404240459</v>
      </c>
      <c r="AI31" s="254">
        <f t="shared" si="10"/>
        <v>6.0452585022442475</v>
      </c>
      <c r="AJ31" s="181" t="s">
        <v>22</v>
      </c>
      <c r="AK31" s="54" t="s">
        <v>22</v>
      </c>
      <c r="AL31" s="158">
        <f>E31</f>
        <v>32</v>
      </c>
      <c r="AM31" s="160">
        <f t="shared" si="11"/>
        <v>1932.2114810836617</v>
      </c>
      <c r="AN31" s="161">
        <f>Radiación!I279/31/86.01</f>
        <v>7.7366772794966625</v>
      </c>
      <c r="AO31" s="160">
        <f t="shared" si="5"/>
        <v>249.74694061548973</v>
      </c>
      <c r="AP31" s="255">
        <f t="shared" si="12"/>
        <v>7.7366772794966625</v>
      </c>
      <c r="AQ31" s="181" t="s">
        <v>22</v>
      </c>
      <c r="AR31" s="491"/>
      <c r="AS31" s="233"/>
      <c r="AT31" s="233"/>
      <c r="AU31" s="233"/>
      <c r="AV31" s="233"/>
      <c r="AW31" s="233"/>
      <c r="AX31" s="233"/>
    </row>
    <row r="32" spans="1:50" ht="30" customHeight="1" thickBot="1">
      <c r="A32" s="233"/>
      <c r="B32" s="236"/>
      <c r="C32" s="233"/>
      <c r="D32" s="169" t="s">
        <v>23</v>
      </c>
      <c r="E32" s="175">
        <v>45</v>
      </c>
      <c r="F32" s="173">
        <f>IF($O$20=2,"",'Cálculo de consumo'!$K$34)</f>
        <v>1932.2114810836617</v>
      </c>
      <c r="G32" s="174">
        <f>Radiación!J123/31/86.01</f>
        <v>6.6642626926096238</v>
      </c>
      <c r="H32" s="173">
        <f t="shared" si="0"/>
        <v>289.93627205398127</v>
      </c>
      <c r="I32" s="331">
        <f t="shared" si="6"/>
        <v>45</v>
      </c>
      <c r="J32" s="266">
        <f t="shared" si="7"/>
        <v>6.6642626926096238</v>
      </c>
      <c r="K32" s="233" t="str">
        <f t="shared" si="8"/>
        <v>Agosto</v>
      </c>
      <c r="L32" s="233">
        <f>G32*31</f>
        <v>206.59214347089835</v>
      </c>
      <c r="M32" s="238"/>
      <c r="N32" s="238"/>
      <c r="O32" s="238"/>
      <c r="P32" s="233"/>
      <c r="Q32" s="233"/>
      <c r="R32" s="268"/>
      <c r="S32" s="233"/>
      <c r="T32" s="233"/>
      <c r="U32" s="244"/>
      <c r="V32" s="233"/>
      <c r="W32" s="54" t="s">
        <v>23</v>
      </c>
      <c r="X32" s="166">
        <f t="shared" si="13"/>
        <v>45</v>
      </c>
      <c r="Y32" s="160">
        <f t="shared" si="1"/>
        <v>1932.2114810836617</v>
      </c>
      <c r="Z32" s="161">
        <f>Radiación!J176/31/86.01</f>
        <v>6.7724721062361875</v>
      </c>
      <c r="AA32" s="160">
        <f t="shared" si="2"/>
        <v>285.30371934709842</v>
      </c>
      <c r="AB32" s="253">
        <f t="shared" si="9"/>
        <v>6.7724721062361875</v>
      </c>
      <c r="AC32" s="232" t="s">
        <v>23</v>
      </c>
      <c r="AD32" s="54" t="s">
        <v>23</v>
      </c>
      <c r="AE32" s="166">
        <f t="shared" si="14"/>
        <v>45</v>
      </c>
      <c r="AF32" s="160">
        <f t="shared" si="3"/>
        <v>1932.2114810836617</v>
      </c>
      <c r="AG32" s="161">
        <f>Radiación!J229/31/86.01</f>
        <v>5.8936446786532066</v>
      </c>
      <c r="AH32" s="160">
        <f t="shared" si="4"/>
        <v>327.84661893210762</v>
      </c>
      <c r="AI32" s="254">
        <f t="shared" si="10"/>
        <v>5.8936446786532066</v>
      </c>
      <c r="AJ32" s="181" t="s">
        <v>23</v>
      </c>
      <c r="AK32" s="54" t="s">
        <v>23</v>
      </c>
      <c r="AL32" s="158">
        <f t="shared" si="15"/>
        <v>45</v>
      </c>
      <c r="AM32" s="160">
        <f t="shared" si="11"/>
        <v>1932.2114810836617</v>
      </c>
      <c r="AN32" s="161">
        <f>Radiación!J279/31/86.01</f>
        <v>6.9499924300518101</v>
      </c>
      <c r="AO32" s="160">
        <f t="shared" si="5"/>
        <v>278.01634325942103</v>
      </c>
      <c r="AP32" s="255">
        <f t="shared" si="12"/>
        <v>6.9499924300518101</v>
      </c>
      <c r="AQ32" s="181" t="s">
        <v>23</v>
      </c>
      <c r="AR32" s="491"/>
      <c r="AS32" s="233"/>
      <c r="AT32" s="233"/>
      <c r="AU32" s="233"/>
      <c r="AV32" s="233"/>
      <c r="AW32" s="233"/>
      <c r="AX32" s="233"/>
    </row>
    <row r="33" spans="1:50" ht="30" customHeight="1" thickBot="1">
      <c r="A33" s="233"/>
      <c r="B33" s="236"/>
      <c r="C33" s="233"/>
      <c r="D33" s="169" t="s">
        <v>24</v>
      </c>
      <c r="E33" s="175">
        <v>48</v>
      </c>
      <c r="F33" s="173">
        <f>IF($O$20=2,"",'Cálculo de consumo'!$K$34)</f>
        <v>1932.2114810836617</v>
      </c>
      <c r="G33" s="174">
        <f>Radiación!K123/30/86.01</f>
        <v>6.2386274861237752</v>
      </c>
      <c r="H33" s="173">
        <f t="shared" si="0"/>
        <v>309.71739944104212</v>
      </c>
      <c r="I33" s="331">
        <f t="shared" si="6"/>
        <v>48</v>
      </c>
      <c r="J33" s="266">
        <f t="shared" si="7"/>
        <v>6.2386274861237752</v>
      </c>
      <c r="K33" s="233" t="str">
        <f t="shared" si="8"/>
        <v>Septiembre</v>
      </c>
      <c r="L33" s="233">
        <f>G33*30</f>
        <v>187.15882458371325</v>
      </c>
      <c r="M33" s="233"/>
      <c r="N33" s="233"/>
      <c r="O33" s="233"/>
      <c r="P33" s="233"/>
      <c r="Q33" s="233"/>
      <c r="R33" s="233"/>
      <c r="S33" s="233"/>
      <c r="T33" s="233"/>
      <c r="U33" s="244"/>
      <c r="V33" s="233"/>
      <c r="W33" s="54" t="s">
        <v>24</v>
      </c>
      <c r="X33" s="166">
        <f t="shared" si="13"/>
        <v>48</v>
      </c>
      <c r="Y33" s="160">
        <f t="shared" si="1"/>
        <v>1932.2114810836617</v>
      </c>
      <c r="Z33" s="161">
        <f>Radiación!K176/30/86.01</f>
        <v>6.2485798542835838</v>
      </c>
      <c r="AA33" s="160">
        <f t="shared" si="2"/>
        <v>309.22409989832721</v>
      </c>
      <c r="AB33" s="253">
        <f t="shared" si="9"/>
        <v>6.2485798542835838</v>
      </c>
      <c r="AC33" s="232" t="s">
        <v>24</v>
      </c>
      <c r="AD33" s="54" t="s">
        <v>24</v>
      </c>
      <c r="AE33" s="166">
        <f t="shared" si="14"/>
        <v>48</v>
      </c>
      <c r="AF33" s="160">
        <f t="shared" si="3"/>
        <v>1932.2114810836617</v>
      </c>
      <c r="AG33" s="161">
        <f>Radiación!K229/30/86.01</f>
        <v>5.8981147349135838</v>
      </c>
      <c r="AH33" s="160">
        <f t="shared" si="4"/>
        <v>327.59815092202871</v>
      </c>
      <c r="AI33" s="254">
        <f t="shared" si="10"/>
        <v>5.8981147349135838</v>
      </c>
      <c r="AJ33" s="181" t="s">
        <v>24</v>
      </c>
      <c r="AK33" s="54" t="s">
        <v>24</v>
      </c>
      <c r="AL33" s="158">
        <f t="shared" si="15"/>
        <v>48</v>
      </c>
      <c r="AM33" s="160">
        <f t="shared" si="11"/>
        <v>1932.2114810836617</v>
      </c>
      <c r="AN33" s="161">
        <f>Radiación!K279/30/86.01</f>
        <v>6.1446817789337107</v>
      </c>
      <c r="AO33" s="160">
        <f t="shared" si="5"/>
        <v>314.45265200030576</v>
      </c>
      <c r="AP33" s="255">
        <f t="shared" si="12"/>
        <v>6.1446817789337107</v>
      </c>
      <c r="AQ33" s="181" t="s">
        <v>24</v>
      </c>
      <c r="AR33" s="491"/>
      <c r="AS33" s="233"/>
      <c r="AT33" s="233"/>
      <c r="AU33" s="233"/>
      <c r="AV33" s="233"/>
      <c r="AW33" s="233"/>
      <c r="AX33" s="233"/>
    </row>
    <row r="34" spans="1:50" ht="30" customHeight="1" thickBot="1">
      <c r="A34" s="233"/>
      <c r="B34" s="236"/>
      <c r="C34" s="233"/>
      <c r="D34" s="169" t="s">
        <v>25</v>
      </c>
      <c r="E34" s="175"/>
      <c r="F34" s="173">
        <f>IF($O$20=2,"",'Cálculo de consumo'!$K$34)</f>
        <v>1932.2114810836617</v>
      </c>
      <c r="G34" s="174">
        <f>Radiación!L123/31/86.01</f>
        <v>4.6415607154583345</v>
      </c>
      <c r="H34" s="173">
        <f t="shared" si="0"/>
        <v>416.2848661331933</v>
      </c>
      <c r="I34" s="331">
        <f t="shared" si="6"/>
        <v>0</v>
      </c>
      <c r="J34" s="266">
        <f t="shared" si="7"/>
        <v>4.6415607154583345</v>
      </c>
      <c r="K34" s="233" t="str">
        <f t="shared" si="8"/>
        <v>Octubre</v>
      </c>
      <c r="L34" s="233">
        <f>G34*31</f>
        <v>143.88838217920838</v>
      </c>
      <c r="M34" s="238"/>
      <c r="N34" s="233"/>
      <c r="O34" s="233"/>
      <c r="P34" s="233"/>
      <c r="Q34" s="233"/>
      <c r="R34" s="233"/>
      <c r="S34" s="233"/>
      <c r="T34" s="233"/>
      <c r="U34" s="244"/>
      <c r="V34" s="233"/>
      <c r="W34" s="54" t="s">
        <v>25</v>
      </c>
      <c r="X34" s="166">
        <f t="shared" si="13"/>
        <v>0</v>
      </c>
      <c r="Y34" s="160">
        <f t="shared" si="1"/>
        <v>1932.2114810836617</v>
      </c>
      <c r="Z34" s="161">
        <f>Radiación!L176/31/86.01</f>
        <v>4.6298139237802856</v>
      </c>
      <c r="AA34" s="160">
        <f t="shared" si="2"/>
        <v>417.34106659431211</v>
      </c>
      <c r="AB34" s="253">
        <f t="shared" si="9"/>
        <v>4.6298139237802856</v>
      </c>
      <c r="AC34" s="232" t="s">
        <v>25</v>
      </c>
      <c r="AD34" s="54" t="s">
        <v>25</v>
      </c>
      <c r="AE34" s="166">
        <f t="shared" si="14"/>
        <v>0</v>
      </c>
      <c r="AF34" s="160">
        <f t="shared" si="3"/>
        <v>1932.2114810836617</v>
      </c>
      <c r="AG34" s="161">
        <f>Radiación!L229/31/86.01</f>
        <v>4.4821643731737124</v>
      </c>
      <c r="AH34" s="160">
        <f t="shared" si="4"/>
        <v>431.0889383370627</v>
      </c>
      <c r="AI34" s="254">
        <f t="shared" si="10"/>
        <v>4.4821643731737124</v>
      </c>
      <c r="AJ34" s="181" t="s">
        <v>25</v>
      </c>
      <c r="AK34" s="54" t="s">
        <v>25</v>
      </c>
      <c r="AL34" s="158">
        <f t="shared" si="15"/>
        <v>0</v>
      </c>
      <c r="AM34" s="160">
        <f t="shared" si="11"/>
        <v>1932.2114810836617</v>
      </c>
      <c r="AN34" s="161">
        <f>Radiación!L279/31/86.01</f>
        <v>4.5022296758866274</v>
      </c>
      <c r="AO34" s="160">
        <f t="shared" si="5"/>
        <v>429.16768361071007</v>
      </c>
      <c r="AP34" s="255">
        <f t="shared" si="12"/>
        <v>4.5022296758866274</v>
      </c>
      <c r="AQ34" s="181" t="s">
        <v>25</v>
      </c>
      <c r="AR34" s="491"/>
      <c r="AS34" s="233"/>
      <c r="AT34" s="233"/>
      <c r="AU34" s="233"/>
      <c r="AV34" s="233"/>
      <c r="AW34" s="233"/>
      <c r="AX34" s="233"/>
    </row>
    <row r="35" spans="1:50" ht="30" customHeight="1" thickBot="1">
      <c r="A35" s="233"/>
      <c r="B35" s="236"/>
      <c r="C35" s="233"/>
      <c r="D35" s="169" t="s">
        <v>26</v>
      </c>
      <c r="E35" s="175"/>
      <c r="F35" s="173">
        <f>IF($O$20=2,"",'Cálculo de consumo'!$K$34)</f>
        <v>1932.2114810836617</v>
      </c>
      <c r="G35" s="174">
        <f>Radiación!M123/30/86.01</f>
        <v>3.778241231105679</v>
      </c>
      <c r="H35" s="173">
        <f t="shared" si="0"/>
        <v>511.40500642893358</v>
      </c>
      <c r="I35" s="331">
        <f t="shared" si="6"/>
        <v>0</v>
      </c>
      <c r="J35" s="266">
        <f t="shared" si="7"/>
        <v>3.778241231105679</v>
      </c>
      <c r="K35" s="233" t="str">
        <f t="shared" si="8"/>
        <v>Noviembre</v>
      </c>
      <c r="L35" s="233">
        <f>G35*30</f>
        <v>113.34723693317036</v>
      </c>
      <c r="M35" s="233"/>
      <c r="N35" s="233"/>
      <c r="O35" s="233"/>
      <c r="P35" s="233"/>
      <c r="Q35" s="233"/>
      <c r="R35" s="233"/>
      <c r="S35" s="233"/>
      <c r="T35" s="233"/>
      <c r="U35" s="244"/>
      <c r="V35" s="233"/>
      <c r="W35" s="54" t="s">
        <v>26</v>
      </c>
      <c r="X35" s="166">
        <f t="shared" si="13"/>
        <v>0</v>
      </c>
      <c r="Y35" s="160">
        <f t="shared" si="1"/>
        <v>1932.2114810836617</v>
      </c>
      <c r="Z35" s="161">
        <f>Radiación!M176/30/86.01</f>
        <v>3.6845253055900384</v>
      </c>
      <c r="AA35" s="160">
        <f t="shared" si="2"/>
        <v>524.41259614967908</v>
      </c>
      <c r="AB35" s="253">
        <f t="shared" si="9"/>
        <v>3.6845253055900384</v>
      </c>
      <c r="AC35" s="232" t="s">
        <v>26</v>
      </c>
      <c r="AD35" s="54" t="s">
        <v>26</v>
      </c>
      <c r="AE35" s="166">
        <f t="shared" si="14"/>
        <v>0</v>
      </c>
      <c r="AF35" s="160">
        <f t="shared" si="3"/>
        <v>1932.2114810836617</v>
      </c>
      <c r="AG35" s="161">
        <f>Radiación!M229/30/86.01</f>
        <v>4.008281079054349</v>
      </c>
      <c r="AH35" s="160">
        <f t="shared" si="4"/>
        <v>482.05488661476738</v>
      </c>
      <c r="AI35" s="254">
        <f t="shared" si="10"/>
        <v>4.008281079054349</v>
      </c>
      <c r="AJ35" s="181" t="s">
        <v>26</v>
      </c>
      <c r="AK35" s="54" t="s">
        <v>26</v>
      </c>
      <c r="AL35" s="158">
        <f t="shared" si="15"/>
        <v>0</v>
      </c>
      <c r="AM35" s="160">
        <f t="shared" si="11"/>
        <v>1932.2114810836617</v>
      </c>
      <c r="AN35" s="161">
        <f>Radiación!M279/30/86.01</f>
        <v>3.3361067699365874</v>
      </c>
      <c r="AO35" s="160">
        <f t="shared" si="5"/>
        <v>579.18154733410677</v>
      </c>
      <c r="AP35" s="255">
        <f t="shared" si="12"/>
        <v>3.3361067699365874</v>
      </c>
      <c r="AQ35" s="181" t="s">
        <v>26</v>
      </c>
      <c r="AR35" s="491"/>
      <c r="AS35" s="233"/>
      <c r="AT35" s="233"/>
      <c r="AU35" s="233"/>
      <c r="AV35" s="233"/>
      <c r="AW35" s="233"/>
      <c r="AX35" s="233"/>
    </row>
    <row r="36" spans="1:50" ht="30" customHeight="1" thickBot="1">
      <c r="A36" s="233"/>
      <c r="B36" s="236"/>
      <c r="C36" s="233"/>
      <c r="D36" s="169" t="s">
        <v>27</v>
      </c>
      <c r="E36" s="219"/>
      <c r="F36" s="173">
        <f>IF($O$20=2,"",'Cálculo de consumo'!$K$34)</f>
        <v>1932.2114810836617</v>
      </c>
      <c r="G36" s="174">
        <f>Radiación!N123/31/86.01</f>
        <v>3.6039448742820293</v>
      </c>
      <c r="H36" s="173">
        <f t="shared" si="0"/>
        <v>536.13791233934819</v>
      </c>
      <c r="I36" s="331">
        <f t="shared" si="6"/>
        <v>0</v>
      </c>
      <c r="J36" s="266">
        <f t="shared" si="7"/>
        <v>3.6039448742820293</v>
      </c>
      <c r="K36" s="233" t="str">
        <f t="shared" si="8"/>
        <v>Diciembre</v>
      </c>
      <c r="L36" s="233">
        <f>G36*31</f>
        <v>111.7222911027429</v>
      </c>
      <c r="M36" s="233"/>
      <c r="N36" s="233"/>
      <c r="O36" s="233"/>
      <c r="P36" s="233"/>
      <c r="Q36" s="233"/>
      <c r="R36" s="233"/>
      <c r="S36" s="233"/>
      <c r="T36" s="233"/>
      <c r="U36" s="244"/>
      <c r="V36" s="233"/>
      <c r="W36" s="55" t="s">
        <v>27</v>
      </c>
      <c r="X36" s="167">
        <f t="shared" si="13"/>
        <v>0</v>
      </c>
      <c r="Y36" s="160">
        <f t="shared" si="1"/>
        <v>1932.2114810836617</v>
      </c>
      <c r="Z36" s="161">
        <f>Radiación!N176/31/86.01</f>
        <v>3.4862216515981532</v>
      </c>
      <c r="AA36" s="160">
        <f t="shared" si="2"/>
        <v>554.24229271190995</v>
      </c>
      <c r="AB36" s="253">
        <f t="shared" si="9"/>
        <v>3.4862216515981532</v>
      </c>
      <c r="AC36" s="232" t="s">
        <v>27</v>
      </c>
      <c r="AD36" s="55" t="s">
        <v>27</v>
      </c>
      <c r="AE36" s="167">
        <f t="shared" si="14"/>
        <v>0</v>
      </c>
      <c r="AF36" s="160">
        <f t="shared" si="3"/>
        <v>1932.2114810836617</v>
      </c>
      <c r="AG36" s="161">
        <f>Radiación!N229/31/86.01</f>
        <v>3.9425637009521761</v>
      </c>
      <c r="AH36" s="160">
        <f t="shared" si="4"/>
        <v>490.09011081216255</v>
      </c>
      <c r="AI36" s="254">
        <f t="shared" si="10"/>
        <v>3.9425637009521761</v>
      </c>
      <c r="AJ36" s="181" t="s">
        <v>27</v>
      </c>
      <c r="AK36" s="55" t="s">
        <v>27</v>
      </c>
      <c r="AL36" s="158">
        <f t="shared" si="15"/>
        <v>0</v>
      </c>
      <c r="AM36" s="160">
        <f t="shared" si="11"/>
        <v>1932.2114810836617</v>
      </c>
      <c r="AN36" s="161">
        <f>Radiación!N279/31/86.01</f>
        <v>3.070681777010051</v>
      </c>
      <c r="AO36" s="160">
        <f t="shared" si="5"/>
        <v>629.24510626596827</v>
      </c>
      <c r="AP36" s="255">
        <f t="shared" si="12"/>
        <v>3.070681777010051</v>
      </c>
      <c r="AQ36" s="181" t="s">
        <v>27</v>
      </c>
      <c r="AR36" s="491"/>
      <c r="AS36" s="233"/>
      <c r="AT36" s="233"/>
      <c r="AU36" s="233"/>
      <c r="AV36" s="233"/>
      <c r="AW36" s="233"/>
      <c r="AX36" s="233"/>
    </row>
    <row r="37" spans="1:50" ht="34.5" customHeight="1" thickBot="1">
      <c r="A37" s="233"/>
      <c r="B37" s="236"/>
      <c r="C37" s="233"/>
      <c r="D37" s="558" t="s">
        <v>200</v>
      </c>
      <c r="E37" s="559"/>
      <c r="F37" s="560"/>
      <c r="G37" s="204">
        <f>SUM(G25:G36)</f>
        <v>65.280812759743114</v>
      </c>
      <c r="H37" s="238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44"/>
      <c r="V37" s="233"/>
      <c r="W37" s="577" t="s">
        <v>200</v>
      </c>
      <c r="X37" s="578"/>
      <c r="Y37" s="579"/>
      <c r="Z37" s="159">
        <f>SUM(Z25:Z36)</f>
        <v>65.521805127818894</v>
      </c>
      <c r="AA37" s="3"/>
      <c r="AB37" s="3"/>
      <c r="AC37" s="3"/>
      <c r="AD37" s="577" t="s">
        <v>200</v>
      </c>
      <c r="AE37" s="578"/>
      <c r="AF37" s="579"/>
      <c r="AG37" s="159">
        <f>SUM(AG25:AG36)</f>
        <v>61.307913778909814</v>
      </c>
      <c r="AH37" s="3"/>
      <c r="AK37" s="577" t="s">
        <v>200</v>
      </c>
      <c r="AL37" s="578"/>
      <c r="AM37" s="579"/>
      <c r="AN37" s="159">
        <f>SUM(AN25:AN36)</f>
        <v>64.517732020591453</v>
      </c>
      <c r="AO37" s="3"/>
      <c r="AR37" s="491"/>
      <c r="AS37" s="233"/>
      <c r="AT37" s="233"/>
      <c r="AU37" s="233"/>
      <c r="AV37" s="233"/>
      <c r="AW37" s="233"/>
      <c r="AX37" s="233"/>
    </row>
    <row r="38" spans="1:50">
      <c r="A38" s="233"/>
      <c r="B38" s="236"/>
      <c r="C38" s="238"/>
      <c r="D38" s="238"/>
      <c r="E38" s="238"/>
      <c r="F38" s="238"/>
      <c r="G38" s="238"/>
      <c r="H38" s="238"/>
      <c r="I38" s="238"/>
      <c r="J38" s="238"/>
      <c r="K38" s="238"/>
      <c r="L38" s="238"/>
      <c r="M38" s="238"/>
      <c r="N38" s="233"/>
      <c r="O38" s="233"/>
      <c r="P38" s="233"/>
      <c r="Q38" s="233"/>
      <c r="R38" s="238"/>
      <c r="S38" s="238"/>
      <c r="T38" s="238"/>
      <c r="U38" s="244"/>
      <c r="V38" s="233"/>
      <c r="AS38" s="233"/>
      <c r="AT38" s="233"/>
      <c r="AU38" s="233"/>
      <c r="AV38" s="233"/>
      <c r="AW38" s="233"/>
      <c r="AX38" s="233"/>
    </row>
    <row r="39" spans="1:50">
      <c r="A39" s="233"/>
      <c r="B39" s="236"/>
      <c r="C39" s="238"/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  <c r="U39" s="244"/>
      <c r="V39" s="233"/>
      <c r="AS39" s="233"/>
      <c r="AT39" s="233"/>
      <c r="AU39" s="233"/>
      <c r="AV39" s="233"/>
      <c r="AW39" s="233"/>
      <c r="AX39" s="233"/>
    </row>
    <row r="40" spans="1:50">
      <c r="A40" s="233"/>
      <c r="B40" s="236"/>
      <c r="C40" s="238"/>
      <c r="D40" s="238"/>
      <c r="E40" s="233"/>
      <c r="F40" s="233"/>
      <c r="G40" s="238"/>
      <c r="H40" s="238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8"/>
      <c r="T40" s="238"/>
      <c r="U40" s="244"/>
      <c r="V40" s="233"/>
      <c r="AS40" s="233"/>
      <c r="AT40" s="233"/>
      <c r="AU40" s="233"/>
      <c r="AV40" s="233"/>
      <c r="AW40" s="233"/>
      <c r="AX40" s="233"/>
    </row>
    <row r="41" spans="1:50">
      <c r="A41" s="233"/>
      <c r="B41" s="236"/>
      <c r="C41" s="238"/>
      <c r="D41" s="238"/>
      <c r="E41" s="233"/>
      <c r="F41" s="233"/>
      <c r="G41" s="238"/>
      <c r="H41" s="238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8"/>
      <c r="T41" s="238"/>
      <c r="U41" s="244"/>
      <c r="V41" s="233"/>
      <c r="AS41" s="233"/>
      <c r="AT41" s="233"/>
      <c r="AU41" s="233"/>
      <c r="AV41" s="233"/>
      <c r="AW41" s="233"/>
      <c r="AX41" s="233"/>
    </row>
    <row r="42" spans="1:50">
      <c r="A42" s="233"/>
      <c r="B42" s="236"/>
      <c r="C42" s="238"/>
      <c r="D42" s="238"/>
      <c r="E42" s="233"/>
      <c r="F42" s="233"/>
      <c r="G42" s="238"/>
      <c r="H42" s="238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8"/>
      <c r="T42" s="238"/>
      <c r="U42" s="244"/>
      <c r="V42" s="233"/>
      <c r="AS42" s="233"/>
      <c r="AT42" s="233"/>
      <c r="AU42" s="233"/>
      <c r="AV42" s="233"/>
      <c r="AW42" s="233"/>
      <c r="AX42" s="233"/>
    </row>
    <row r="43" spans="1:50">
      <c r="A43" s="233"/>
      <c r="B43" s="236"/>
      <c r="C43" s="238"/>
      <c r="D43" s="238"/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  <c r="U43" s="244"/>
      <c r="V43" s="233"/>
      <c r="AS43" s="233"/>
      <c r="AT43" s="233"/>
      <c r="AU43" s="233"/>
      <c r="AV43" s="233"/>
      <c r="AW43" s="233"/>
      <c r="AX43" s="233"/>
    </row>
    <row r="44" spans="1:50" ht="31.5" customHeight="1">
      <c r="A44" s="233"/>
      <c r="B44" s="236"/>
      <c r="C44" s="238"/>
      <c r="D44" s="238"/>
      <c r="E44" s="238"/>
      <c r="F44" s="238"/>
      <c r="G44" s="238"/>
      <c r="H44" s="238"/>
      <c r="I44" s="233"/>
      <c r="J44" s="233"/>
      <c r="K44" s="233"/>
      <c r="L44" s="233"/>
      <c r="M44" s="233"/>
      <c r="N44" s="233"/>
      <c r="O44" s="233"/>
      <c r="P44" s="233"/>
      <c r="Q44" s="233"/>
      <c r="R44" s="238"/>
      <c r="S44" s="238"/>
      <c r="T44" s="238"/>
      <c r="U44" s="244"/>
      <c r="V44" s="233"/>
      <c r="AS44" s="233"/>
      <c r="AT44" s="233"/>
      <c r="AU44" s="233"/>
      <c r="AV44" s="233"/>
      <c r="AW44" s="233"/>
      <c r="AX44" s="233"/>
    </row>
    <row r="45" spans="1:50">
      <c r="A45" s="233"/>
      <c r="B45" s="236"/>
      <c r="C45" s="238"/>
      <c r="D45" s="238"/>
      <c r="E45" s="238"/>
      <c r="F45" s="238"/>
      <c r="G45" s="238"/>
      <c r="H45" s="238"/>
      <c r="I45" s="233"/>
      <c r="J45" s="233"/>
      <c r="K45" s="233"/>
      <c r="L45" s="233"/>
      <c r="M45" s="233"/>
      <c r="N45" s="233"/>
      <c r="O45" s="233"/>
      <c r="P45" s="233"/>
      <c r="Q45" s="233"/>
      <c r="R45" s="238"/>
      <c r="S45" s="238"/>
      <c r="T45" s="238"/>
      <c r="U45" s="244"/>
      <c r="V45" s="233"/>
      <c r="AS45" s="233"/>
      <c r="AT45" s="233"/>
      <c r="AU45" s="233"/>
      <c r="AV45" s="233"/>
      <c r="AW45" s="233"/>
      <c r="AX45" s="233"/>
    </row>
    <row r="46" spans="1:50">
      <c r="A46" s="233"/>
      <c r="B46" s="236"/>
      <c r="C46" s="238"/>
      <c r="D46" s="238"/>
      <c r="E46" s="238"/>
      <c r="F46" s="238"/>
      <c r="G46" s="238"/>
      <c r="H46" s="238"/>
      <c r="I46" s="233"/>
      <c r="J46" s="233"/>
      <c r="K46" s="233"/>
      <c r="L46" s="233"/>
      <c r="M46" s="233"/>
      <c r="N46" s="233"/>
      <c r="O46" s="233"/>
      <c r="P46" s="233"/>
      <c r="Q46" s="233"/>
      <c r="R46" s="238"/>
      <c r="S46" s="238"/>
      <c r="T46" s="238"/>
      <c r="U46" s="244"/>
      <c r="V46" s="233"/>
      <c r="AS46" s="233"/>
      <c r="AT46" s="233"/>
      <c r="AU46" s="233"/>
      <c r="AV46" s="233"/>
      <c r="AW46" s="233"/>
      <c r="AX46" s="233"/>
    </row>
    <row r="47" spans="1:50" ht="13.5" thickBot="1">
      <c r="A47" s="233"/>
      <c r="B47" s="243"/>
      <c r="C47" s="248"/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7"/>
      <c r="V47" s="233"/>
      <c r="AS47" s="233"/>
      <c r="AT47" s="233"/>
      <c r="AU47" s="233"/>
      <c r="AV47" s="233"/>
      <c r="AW47" s="233"/>
      <c r="AX47" s="233"/>
    </row>
    <row r="48" spans="1:50" ht="13.5" thickTop="1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AS48" s="233"/>
      <c r="AT48" s="233"/>
      <c r="AU48" s="233"/>
      <c r="AV48" s="233"/>
      <c r="AW48" s="233"/>
      <c r="AX48" s="233"/>
    </row>
    <row r="49" spans="1:50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AS49" s="233"/>
      <c r="AT49" s="233"/>
      <c r="AU49" s="233"/>
      <c r="AV49" s="233"/>
      <c r="AW49" s="233"/>
      <c r="AX49" s="233"/>
    </row>
    <row r="50" spans="1:50">
      <c r="A50" s="233"/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AS50" s="233"/>
      <c r="AT50" s="233"/>
      <c r="AU50" s="233"/>
      <c r="AV50" s="233"/>
      <c r="AW50" s="233"/>
      <c r="AX50" s="233"/>
    </row>
    <row r="51" spans="1:50">
      <c r="A51" s="233"/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AS51" s="233"/>
      <c r="AT51" s="233"/>
      <c r="AU51" s="233"/>
      <c r="AV51" s="233"/>
      <c r="AW51" s="233"/>
      <c r="AX51" s="233"/>
    </row>
    <row r="52" spans="1:50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AS52" s="233"/>
      <c r="AT52" s="233"/>
      <c r="AU52" s="233"/>
      <c r="AV52" s="233"/>
      <c r="AW52" s="233"/>
      <c r="AX52" s="233"/>
    </row>
    <row r="53" spans="1:50">
      <c r="A53" s="233"/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AS53" s="233"/>
      <c r="AT53" s="233"/>
      <c r="AU53" s="233"/>
      <c r="AV53" s="233"/>
      <c r="AW53" s="233"/>
      <c r="AX53" s="233"/>
    </row>
    <row r="54" spans="1:50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AS54" s="233"/>
      <c r="AT54" s="233"/>
      <c r="AU54" s="233"/>
      <c r="AV54" s="233"/>
      <c r="AW54" s="233"/>
      <c r="AX54" s="233"/>
    </row>
    <row r="55" spans="1:50">
      <c r="A55" s="233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AS55" s="233"/>
      <c r="AT55" s="233"/>
      <c r="AU55" s="233"/>
      <c r="AV55" s="233"/>
      <c r="AW55" s="233"/>
      <c r="AX55" s="233"/>
    </row>
    <row r="56" spans="1:50">
      <c r="A56" s="233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AS56" s="233"/>
      <c r="AT56" s="233"/>
      <c r="AU56" s="233"/>
      <c r="AV56" s="233"/>
      <c r="AW56" s="233"/>
      <c r="AX56" s="233"/>
    </row>
    <row r="57" spans="1:50">
      <c r="A57" s="233"/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AS57" s="233"/>
      <c r="AT57" s="233"/>
      <c r="AU57" s="233"/>
      <c r="AV57" s="233"/>
      <c r="AW57" s="233"/>
      <c r="AX57" s="233"/>
    </row>
    <row r="58" spans="1:50">
      <c r="A58" s="233"/>
      <c r="B58" s="233"/>
      <c r="C58" s="233"/>
      <c r="D58" s="233"/>
      <c r="E58" s="233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AS58" s="233"/>
      <c r="AT58" s="233"/>
      <c r="AU58" s="233"/>
      <c r="AV58" s="233"/>
      <c r="AW58" s="233"/>
      <c r="AX58" s="233"/>
    </row>
    <row r="59" spans="1:50">
      <c r="A59" s="233"/>
      <c r="B59" s="233"/>
      <c r="C59" s="233"/>
      <c r="D59" s="233"/>
      <c r="E59" s="233"/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AS59" s="233"/>
      <c r="AT59" s="233"/>
      <c r="AU59" s="233"/>
      <c r="AV59" s="233"/>
      <c r="AW59" s="233"/>
      <c r="AX59" s="233"/>
    </row>
    <row r="60" spans="1:50">
      <c r="A60" s="233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AS60" s="233"/>
      <c r="AT60" s="233"/>
      <c r="AU60" s="233"/>
      <c r="AV60" s="233"/>
      <c r="AW60" s="233"/>
      <c r="AX60" s="233"/>
    </row>
    <row r="61" spans="1:50">
      <c r="A61" s="233"/>
      <c r="B61" s="233"/>
      <c r="C61" s="233"/>
      <c r="D61" s="233"/>
      <c r="E61" s="233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AS61" s="233"/>
      <c r="AT61" s="233"/>
      <c r="AU61" s="233"/>
      <c r="AV61" s="233"/>
      <c r="AW61" s="233"/>
      <c r="AX61" s="233"/>
    </row>
    <row r="62" spans="1:50">
      <c r="A62" s="233"/>
      <c r="B62" s="233"/>
      <c r="C62" s="233"/>
      <c r="D62" s="233"/>
      <c r="E62" s="233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AS62" s="233"/>
      <c r="AT62" s="233"/>
      <c r="AU62" s="233"/>
      <c r="AV62" s="233"/>
      <c r="AW62" s="233"/>
      <c r="AX62" s="233"/>
    </row>
    <row r="63" spans="1:50">
      <c r="A63" s="233"/>
      <c r="B63" s="233"/>
      <c r="C63" s="233"/>
      <c r="D63" s="233"/>
      <c r="E63" s="233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AS63" s="233"/>
      <c r="AT63" s="233"/>
      <c r="AU63" s="233"/>
      <c r="AV63" s="233"/>
      <c r="AW63" s="233"/>
      <c r="AX63" s="233"/>
    </row>
    <row r="64" spans="1:50">
      <c r="A64" s="233"/>
      <c r="B64" s="233"/>
      <c r="C64" s="233"/>
      <c r="D64" s="233"/>
      <c r="E64" s="233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AS64" s="233"/>
      <c r="AT64" s="233"/>
      <c r="AU64" s="233"/>
      <c r="AV64" s="233"/>
      <c r="AW64" s="233"/>
      <c r="AX64" s="233"/>
    </row>
    <row r="65" spans="1:50">
      <c r="A65" s="233"/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AS65" s="233"/>
      <c r="AT65" s="233"/>
      <c r="AU65" s="233"/>
      <c r="AV65" s="233"/>
      <c r="AW65" s="233"/>
      <c r="AX65" s="233"/>
    </row>
    <row r="66" spans="1:50">
      <c r="A66" s="233"/>
      <c r="B66" s="233"/>
      <c r="C66" s="233"/>
      <c r="D66" s="233"/>
      <c r="E66" s="233"/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AS66" s="233"/>
      <c r="AT66" s="233"/>
      <c r="AU66" s="233"/>
      <c r="AV66" s="233"/>
      <c r="AW66" s="233"/>
      <c r="AX66" s="233"/>
    </row>
    <row r="67" spans="1:50">
      <c r="A67" s="233"/>
      <c r="B67" s="233"/>
      <c r="C67" s="233"/>
      <c r="D67" s="233"/>
      <c r="E67" s="233"/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AS67" s="233"/>
      <c r="AT67" s="233"/>
      <c r="AU67" s="233"/>
      <c r="AV67" s="233"/>
      <c r="AW67" s="233"/>
      <c r="AX67" s="233"/>
    </row>
    <row r="68" spans="1:50">
      <c r="A68" s="233"/>
      <c r="B68" s="233"/>
      <c r="C68" s="233"/>
      <c r="D68" s="233"/>
      <c r="E68" s="233"/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AS68" s="233"/>
      <c r="AT68" s="233"/>
      <c r="AU68" s="233"/>
      <c r="AV68" s="233"/>
      <c r="AW68" s="233"/>
      <c r="AX68" s="233"/>
    </row>
    <row r="69" spans="1:50">
      <c r="A69" s="233"/>
      <c r="B69" s="233"/>
      <c r="C69" s="233"/>
      <c r="D69" s="233"/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AS69" s="233"/>
      <c r="AT69" s="233"/>
      <c r="AU69" s="233"/>
      <c r="AV69" s="233"/>
      <c r="AW69" s="233"/>
      <c r="AX69" s="233"/>
    </row>
    <row r="70" spans="1:50">
      <c r="A70" s="233"/>
      <c r="B70" s="233"/>
      <c r="C70" s="233"/>
      <c r="D70" s="233"/>
      <c r="E70" s="233"/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AS70" s="233"/>
      <c r="AT70" s="233"/>
      <c r="AU70" s="233"/>
      <c r="AV70" s="233"/>
      <c r="AW70" s="233"/>
      <c r="AX70" s="233"/>
    </row>
    <row r="71" spans="1:50">
      <c r="A71" s="233"/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AS71" s="233"/>
      <c r="AT71" s="233"/>
      <c r="AU71" s="233"/>
      <c r="AV71" s="233"/>
      <c r="AW71" s="233"/>
      <c r="AX71" s="233"/>
    </row>
    <row r="72" spans="1:50">
      <c r="A72" s="233"/>
      <c r="B72" s="233"/>
      <c r="C72" s="233"/>
      <c r="D72" s="233"/>
      <c r="E72" s="233"/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AS72" s="233"/>
      <c r="AT72" s="233"/>
      <c r="AU72" s="233"/>
      <c r="AV72" s="233"/>
      <c r="AW72" s="233"/>
      <c r="AX72" s="233"/>
    </row>
    <row r="73" spans="1:50">
      <c r="A73" s="233"/>
      <c r="B73" s="233"/>
      <c r="C73" s="233"/>
      <c r="D73" s="233"/>
      <c r="E73" s="233"/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AS73" s="233"/>
      <c r="AT73" s="233"/>
      <c r="AU73" s="233"/>
      <c r="AV73" s="233"/>
      <c r="AW73" s="233"/>
      <c r="AX73" s="233"/>
    </row>
    <row r="74" spans="1:50">
      <c r="A74" s="233"/>
      <c r="B74" s="233"/>
      <c r="C74" s="233"/>
      <c r="D74" s="233"/>
      <c r="E74" s="233"/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AS74" s="233"/>
      <c r="AT74" s="233"/>
      <c r="AU74" s="233"/>
      <c r="AV74" s="233"/>
      <c r="AW74" s="233"/>
      <c r="AX74" s="233"/>
    </row>
    <row r="75" spans="1:50">
      <c r="A75" s="233"/>
      <c r="B75" s="233"/>
      <c r="C75" s="233"/>
      <c r="D75" s="233"/>
      <c r="E75" s="233"/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AS75" s="233"/>
      <c r="AT75" s="233"/>
      <c r="AU75" s="233"/>
      <c r="AV75" s="233"/>
      <c r="AW75" s="233"/>
      <c r="AX75" s="233"/>
    </row>
    <row r="76" spans="1:50">
      <c r="A76" s="233"/>
      <c r="B76" s="233"/>
      <c r="C76" s="233"/>
      <c r="D76" s="233"/>
      <c r="E76" s="233"/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AS76" s="233"/>
      <c r="AT76" s="233"/>
      <c r="AU76" s="233"/>
      <c r="AV76" s="233"/>
      <c r="AW76" s="233"/>
      <c r="AX76" s="233"/>
    </row>
    <row r="77" spans="1:50">
      <c r="A77" s="233"/>
      <c r="B77" s="233"/>
      <c r="C77" s="233"/>
      <c r="D77" s="233"/>
      <c r="E77" s="233"/>
      <c r="F77" s="233"/>
      <c r="G77" s="233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AS77" s="233"/>
      <c r="AT77" s="233"/>
      <c r="AU77" s="233"/>
      <c r="AV77" s="233"/>
      <c r="AW77" s="233"/>
      <c r="AX77" s="233"/>
    </row>
    <row r="78" spans="1:50">
      <c r="A78" s="233"/>
      <c r="B78" s="233"/>
      <c r="C78" s="233"/>
      <c r="D78" s="233"/>
      <c r="E78" s="233"/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AS78" s="233"/>
      <c r="AT78" s="233"/>
      <c r="AU78" s="233"/>
      <c r="AV78" s="233"/>
      <c r="AW78" s="233"/>
      <c r="AX78" s="233"/>
    </row>
    <row r="79" spans="1:50">
      <c r="A79" s="233"/>
      <c r="B79" s="233"/>
      <c r="C79" s="233"/>
      <c r="D79" s="233"/>
      <c r="E79" s="233"/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AS79" s="233"/>
      <c r="AT79" s="233"/>
      <c r="AU79" s="233"/>
      <c r="AV79" s="233"/>
      <c r="AW79" s="233"/>
      <c r="AX79" s="233"/>
    </row>
    <row r="80" spans="1:50">
      <c r="A80" s="233"/>
      <c r="B80" s="233"/>
      <c r="C80" s="233"/>
      <c r="D80" s="233"/>
      <c r="E80" s="233"/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AS80" s="233"/>
      <c r="AT80" s="233"/>
      <c r="AU80" s="233"/>
      <c r="AV80" s="233"/>
      <c r="AW80" s="233"/>
      <c r="AX80" s="233"/>
    </row>
    <row r="81" spans="1:50">
      <c r="A81" s="233"/>
      <c r="B81" s="233"/>
      <c r="C81" s="233"/>
      <c r="D81" s="233"/>
      <c r="E81" s="233"/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AS81" s="233"/>
      <c r="AT81" s="233"/>
      <c r="AU81" s="233"/>
      <c r="AV81" s="233"/>
      <c r="AW81" s="233"/>
      <c r="AX81" s="233"/>
    </row>
    <row r="82" spans="1:50">
      <c r="A82" s="233"/>
      <c r="B82" s="233"/>
      <c r="C82" s="233"/>
      <c r="D82" s="233"/>
      <c r="E82" s="233"/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AS82" s="233"/>
      <c r="AT82" s="233"/>
      <c r="AU82" s="233"/>
      <c r="AV82" s="233"/>
      <c r="AW82" s="233"/>
      <c r="AX82" s="233"/>
    </row>
  </sheetData>
  <protectedRanges>
    <protectedRange sqref="P7:Q8" name="Localidad"/>
    <protectedRange sqref="H23 Z23 AG23 AN23" name="Angulo inclinación"/>
  </protectedRanges>
  <mergeCells count="28">
    <mergeCell ref="C10:D12"/>
    <mergeCell ref="E10:E12"/>
    <mergeCell ref="W37:Y37"/>
    <mergeCell ref="AD37:AF37"/>
    <mergeCell ref="AD23:AF23"/>
    <mergeCell ref="G7:G9"/>
    <mergeCell ref="AN23:AO23"/>
    <mergeCell ref="AK37:AM37"/>
    <mergeCell ref="AK23:AM23"/>
    <mergeCell ref="AG23:AH23"/>
    <mergeCell ref="W23:Y23"/>
    <mergeCell ref="Z23:AA23"/>
    <mergeCell ref="F2:H2"/>
    <mergeCell ref="F4:H4"/>
    <mergeCell ref="P2:S2"/>
    <mergeCell ref="P4:S4"/>
    <mergeCell ref="D37:F37"/>
    <mergeCell ref="C7:D9"/>
    <mergeCell ref="E7:E9"/>
    <mergeCell ref="N24:O24"/>
    <mergeCell ref="N28:O28"/>
    <mergeCell ref="R24:S24"/>
    <mergeCell ref="C13:D15"/>
    <mergeCell ref="E13:E15"/>
    <mergeCell ref="C16:D18"/>
    <mergeCell ref="E16:E18"/>
    <mergeCell ref="F7:F9"/>
    <mergeCell ref="R28:S28"/>
  </mergeCells>
  <phoneticPr fontId="12" type="noConversion"/>
  <printOptions horizontalCentered="1"/>
  <pageMargins left="0" right="0" top="0.39370078740157483" bottom="0" header="0" footer="0"/>
  <pageSetup paperSize="9" scale="58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4">
    <pageSetUpPr fitToPage="1"/>
  </sheetPr>
  <dimension ref="A1:W45"/>
  <sheetViews>
    <sheetView showGridLines="0" topLeftCell="A16" zoomScale="80" zoomScaleNormal="80" zoomScaleSheetLayoutView="75" workbookViewId="0">
      <selection activeCell="K18" sqref="K18"/>
    </sheetView>
  </sheetViews>
  <sheetFormatPr baseColWidth="10" defaultRowHeight="12.75"/>
  <cols>
    <col min="1" max="1" width="6.7109375" customWidth="1"/>
    <col min="2" max="2" width="8.7109375" customWidth="1"/>
    <col min="3" max="4" width="15.7109375" customWidth="1"/>
    <col min="5" max="5" width="20.28515625" bestFit="1" customWidth="1"/>
    <col min="6" max="6" width="17.28515625" customWidth="1"/>
    <col min="7" max="8" width="15.7109375" customWidth="1"/>
    <col min="9" max="9" width="19.28515625" bestFit="1" customWidth="1"/>
    <col min="10" max="10" width="17.140625" bestFit="1" customWidth="1"/>
    <col min="11" max="11" width="20.140625" bestFit="1" customWidth="1"/>
    <col min="12" max="12" width="21.140625" customWidth="1"/>
    <col min="14" max="14" width="4.140625" customWidth="1"/>
    <col min="16" max="16" width="0.140625" hidden="1" customWidth="1"/>
    <col min="17" max="17" width="11.42578125" hidden="1" customWidth="1"/>
    <col min="19" max="19" width="11.28515625" customWidth="1"/>
    <col min="20" max="20" width="8.85546875" style="409" customWidth="1"/>
    <col min="21" max="21" width="10.28515625" style="409" bestFit="1" customWidth="1"/>
    <col min="22" max="22" width="10.140625" customWidth="1"/>
    <col min="23" max="23" width="10.42578125" customWidth="1"/>
  </cols>
  <sheetData>
    <row r="1" spans="1:19">
      <c r="A1" s="272"/>
      <c r="B1" s="273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5"/>
      <c r="O1" s="269"/>
      <c r="P1" s="233"/>
      <c r="Q1" s="233"/>
      <c r="R1" s="233"/>
      <c r="S1" s="233"/>
    </row>
    <row r="2" spans="1:19" ht="15">
      <c r="A2" s="272"/>
      <c r="B2" s="271"/>
      <c r="C2" s="233"/>
      <c r="D2" s="237" t="s">
        <v>49</v>
      </c>
      <c r="E2" s="241"/>
      <c r="F2" s="586" t="str">
        <f>'Cálculo de consumo'!E2</f>
        <v>Prueba</v>
      </c>
      <c r="G2" s="586"/>
      <c r="H2" s="586"/>
      <c r="I2" s="237" t="s">
        <v>50</v>
      </c>
      <c r="J2" s="237"/>
      <c r="K2" s="584" t="str">
        <f>'Cálculo de consumo'!J2</f>
        <v>Prueba</v>
      </c>
      <c r="L2" s="584"/>
      <c r="M2" s="584"/>
      <c r="N2" s="280"/>
      <c r="O2" s="281"/>
      <c r="P2" s="233"/>
      <c r="Q2" s="233"/>
      <c r="R2" s="233"/>
      <c r="S2" s="233"/>
    </row>
    <row r="3" spans="1:19">
      <c r="A3" s="272"/>
      <c r="B3" s="271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72"/>
      <c r="O3" s="238"/>
      <c r="P3" s="233"/>
      <c r="Q3" s="233"/>
      <c r="R3" s="233"/>
      <c r="S3" s="233"/>
    </row>
    <row r="4" spans="1:19" ht="15">
      <c r="A4" s="272"/>
      <c r="B4" s="271"/>
      <c r="C4" s="233"/>
      <c r="D4" s="270" t="s">
        <v>51</v>
      </c>
      <c r="E4" s="241"/>
      <c r="F4" s="587" t="str">
        <f>'Cálculo de consumo'!E4</f>
        <v>Prueba</v>
      </c>
      <c r="G4" s="587"/>
      <c r="H4" s="587"/>
      <c r="I4" s="237" t="s">
        <v>52</v>
      </c>
      <c r="J4" s="237"/>
      <c r="K4" s="585" t="str">
        <f>'Cálculo de consumo'!J4</f>
        <v>Prueba</v>
      </c>
      <c r="L4" s="585"/>
      <c r="M4" s="585"/>
      <c r="N4" s="282"/>
      <c r="O4" s="283"/>
      <c r="P4" s="233"/>
      <c r="Q4" s="233"/>
      <c r="R4" s="233"/>
      <c r="S4" s="233"/>
    </row>
    <row r="5" spans="1:19" ht="20.25">
      <c r="A5" s="272"/>
      <c r="B5" s="271"/>
      <c r="C5" s="296" t="s">
        <v>31</v>
      </c>
      <c r="D5" s="239"/>
      <c r="E5" s="238"/>
      <c r="F5" s="238"/>
      <c r="G5" s="238"/>
      <c r="H5" s="238"/>
      <c r="I5" s="238"/>
      <c r="J5" s="238"/>
      <c r="K5" s="238"/>
      <c r="L5" s="238"/>
      <c r="M5" s="238"/>
      <c r="N5" s="272"/>
      <c r="O5" s="233"/>
      <c r="P5" s="233"/>
      <c r="Q5" s="233"/>
      <c r="R5" s="233"/>
      <c r="S5" s="233"/>
    </row>
    <row r="6" spans="1:19">
      <c r="A6" s="272"/>
      <c r="B6" s="271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72"/>
      <c r="O6" s="233"/>
      <c r="P6" s="233"/>
      <c r="Q6" s="233"/>
      <c r="R6" s="233"/>
      <c r="S6" s="233"/>
    </row>
    <row r="7" spans="1:19" ht="30" customHeight="1">
      <c r="A7" s="272"/>
      <c r="B7" s="271"/>
      <c r="C7" s="233"/>
      <c r="D7" s="233"/>
      <c r="E7" s="593" t="s">
        <v>41</v>
      </c>
      <c r="F7" s="593"/>
      <c r="G7" s="593"/>
      <c r="H7" s="276"/>
      <c r="I7" s="589" t="s">
        <v>441</v>
      </c>
      <c r="J7" s="589"/>
      <c r="K7" s="589"/>
      <c r="L7" s="233"/>
      <c r="M7" s="238"/>
      <c r="N7" s="272"/>
      <c r="O7" s="233"/>
      <c r="P7" s="233"/>
      <c r="Q7" s="233"/>
      <c r="R7" s="233"/>
      <c r="S7" s="233"/>
    </row>
    <row r="8" spans="1:19" ht="30" customHeight="1">
      <c r="A8" s="272"/>
      <c r="B8" s="271"/>
      <c r="C8" s="233"/>
      <c r="D8" s="233"/>
      <c r="E8" s="214" t="s">
        <v>42</v>
      </c>
      <c r="F8" s="719" t="s">
        <v>541</v>
      </c>
      <c r="G8" s="588"/>
      <c r="H8" s="277"/>
      <c r="I8" s="309" t="str">
        <f>IF(I25&gt;1.13*F18,"SE RECOMIENDA AUMENTAR CAPACIDAD BANCO DE BATERÍAS Ó REVISAR DÍAS DE AUTONOMÍA Y MÁXIMA PROFUNDIDAD DE DESCARGA","")</f>
        <v/>
      </c>
      <c r="J8" s="309"/>
      <c r="K8" s="310"/>
      <c r="L8" s="356"/>
      <c r="M8" s="238"/>
      <c r="N8" s="272"/>
      <c r="O8" s="233"/>
      <c r="P8" s="233">
        <v>7</v>
      </c>
      <c r="Q8" s="233">
        <v>10</v>
      </c>
      <c r="R8" s="233"/>
      <c r="S8" s="233"/>
    </row>
    <row r="9" spans="1:19" ht="30" customHeight="1">
      <c r="A9" s="272"/>
      <c r="B9" s="271"/>
      <c r="C9" s="233"/>
      <c r="D9" s="233"/>
      <c r="E9" s="215" t="s">
        <v>43</v>
      </c>
      <c r="F9" s="719" t="s">
        <v>542</v>
      </c>
      <c r="G9" s="588"/>
      <c r="H9" s="278"/>
      <c r="I9" s="309" t="str">
        <f>IF((H25&gt;0.2),"SE RECOMIENDA AUMENTAR CAPACIDAD DE BATERIAS","")</f>
        <v/>
      </c>
      <c r="J9" s="310"/>
      <c r="K9" s="310"/>
      <c r="L9" s="278"/>
      <c r="M9" s="238"/>
      <c r="N9" s="272"/>
      <c r="O9" s="233"/>
      <c r="P9" s="233"/>
      <c r="Q9" s="233"/>
      <c r="R9" s="233"/>
      <c r="S9" s="233"/>
    </row>
    <row r="10" spans="1:19" ht="30" customHeight="1">
      <c r="A10" s="272"/>
      <c r="B10" s="271"/>
      <c r="C10" s="233"/>
      <c r="D10" s="233"/>
      <c r="E10" s="215" t="s">
        <v>44</v>
      </c>
      <c r="F10" s="720" t="s">
        <v>543</v>
      </c>
      <c r="G10" s="594"/>
      <c r="H10" s="278"/>
      <c r="I10" s="311" t="str">
        <f>IF(I25&gt;1,"LA SELECCIÓN DEL Nº DE BATERIAS ES INCORRECTO","")</f>
        <v/>
      </c>
      <c r="J10" s="310"/>
      <c r="K10" s="310"/>
      <c r="L10" s="278"/>
      <c r="M10" s="238"/>
      <c r="N10" s="272"/>
      <c r="O10" s="233"/>
      <c r="P10" s="233"/>
      <c r="Q10" s="233"/>
      <c r="R10" s="233"/>
      <c r="S10" s="233"/>
    </row>
    <row r="11" spans="1:19" ht="30" customHeight="1">
      <c r="A11" s="272"/>
      <c r="B11" s="271"/>
      <c r="C11" s="233"/>
      <c r="D11" s="233"/>
      <c r="E11" s="216" t="s">
        <v>460</v>
      </c>
      <c r="F11" s="591">
        <f>12*12</f>
        <v>144</v>
      </c>
      <c r="G11" s="592"/>
      <c r="H11" s="279"/>
      <c r="I11" s="312" t="str">
        <f>IF(AND(K25="NO APLICA",T25="NO APLICA"),"FALTA POR RELLENAR ALGÚN MES DE VERANO O INVIERNO","")</f>
        <v/>
      </c>
      <c r="J11" s="310"/>
      <c r="K11" s="310"/>
      <c r="L11" s="278"/>
      <c r="M11" s="238"/>
      <c r="N11" s="272"/>
      <c r="O11" s="233"/>
      <c r="P11" s="233"/>
      <c r="Q11" s="233"/>
      <c r="R11" s="233"/>
      <c r="S11" s="233"/>
    </row>
    <row r="12" spans="1:19" ht="30" customHeight="1">
      <c r="A12" s="272"/>
      <c r="B12" s="271"/>
      <c r="C12" s="233"/>
      <c r="D12" s="233"/>
      <c r="E12" s="514" t="s">
        <v>514</v>
      </c>
      <c r="F12" s="590">
        <v>2.25</v>
      </c>
      <c r="G12" s="588"/>
      <c r="H12" s="279"/>
      <c r="I12" s="233"/>
      <c r="J12" s="233"/>
      <c r="K12" s="233"/>
      <c r="L12" s="278"/>
      <c r="M12" s="238"/>
      <c r="N12" s="272"/>
      <c r="O12" s="233"/>
      <c r="P12" s="233"/>
      <c r="Q12" s="233"/>
      <c r="R12" s="233"/>
      <c r="S12" s="233"/>
    </row>
    <row r="13" spans="1:19" ht="30" customHeight="1">
      <c r="A13" s="272"/>
      <c r="B13" s="271"/>
      <c r="C13" s="233"/>
      <c r="D13" s="233"/>
      <c r="E13" s="514" t="s">
        <v>515</v>
      </c>
      <c r="F13" s="590">
        <v>2.35</v>
      </c>
      <c r="G13" s="588"/>
      <c r="H13" s="279"/>
      <c r="I13" s="313"/>
      <c r="J13" s="278"/>
      <c r="K13" s="278"/>
      <c r="L13" s="278"/>
      <c r="M13" s="238"/>
      <c r="N13" s="272"/>
      <c r="O13" s="233"/>
      <c r="P13" s="233"/>
      <c r="Q13" s="233"/>
      <c r="R13" s="233"/>
      <c r="S13" s="233"/>
    </row>
    <row r="14" spans="1:19" ht="30" customHeight="1">
      <c r="A14" s="272"/>
      <c r="B14" s="271"/>
      <c r="C14" s="233"/>
      <c r="D14" s="233"/>
      <c r="E14" s="216" t="s">
        <v>451</v>
      </c>
      <c r="F14" s="590">
        <v>1616</v>
      </c>
      <c r="G14" s="588"/>
      <c r="H14" s="279"/>
      <c r="I14" s="278"/>
      <c r="J14" s="278"/>
      <c r="K14" s="278"/>
      <c r="L14" s="278"/>
      <c r="M14" s="238"/>
      <c r="N14" s="272"/>
      <c r="O14" s="233"/>
      <c r="P14" s="233"/>
      <c r="Q14" s="233"/>
      <c r="R14" s="233"/>
      <c r="S14" s="233"/>
    </row>
    <row r="15" spans="1:19">
      <c r="A15" s="272"/>
      <c r="B15" s="271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8"/>
      <c r="N15" s="272"/>
      <c r="O15" s="233"/>
      <c r="P15" s="233"/>
      <c r="Q15" s="233"/>
      <c r="R15" s="233"/>
      <c r="S15" s="233"/>
    </row>
    <row r="16" spans="1:19" ht="19.5" thickBot="1">
      <c r="A16" s="272"/>
      <c r="B16" s="271"/>
      <c r="C16" s="233"/>
      <c r="D16" s="233"/>
      <c r="E16" s="555"/>
      <c r="F16" s="555"/>
      <c r="G16" s="555"/>
      <c r="H16" s="233"/>
      <c r="I16" s="233"/>
      <c r="J16" s="233"/>
      <c r="K16" s="230"/>
      <c r="L16" s="287"/>
      <c r="M16" s="287"/>
      <c r="N16" s="272"/>
      <c r="O16" s="233"/>
      <c r="P16" s="233"/>
      <c r="Q16" s="233"/>
      <c r="R16" s="233"/>
      <c r="S16" s="233"/>
    </row>
    <row r="17" spans="1:23" ht="54.95" customHeight="1" thickBot="1">
      <c r="A17" s="272"/>
      <c r="B17" s="271"/>
      <c r="C17" s="225" t="s">
        <v>32</v>
      </c>
      <c r="D17" s="292" t="s">
        <v>448</v>
      </c>
      <c r="E17" s="224" t="s">
        <v>33</v>
      </c>
      <c r="F17" s="224" t="s">
        <v>34</v>
      </c>
      <c r="G17" s="224" t="s">
        <v>35</v>
      </c>
      <c r="H17" s="226" t="s">
        <v>36</v>
      </c>
      <c r="I17" s="227" t="s">
        <v>37</v>
      </c>
      <c r="J17" s="227" t="s">
        <v>439</v>
      </c>
      <c r="K17" s="224" t="s">
        <v>437</v>
      </c>
      <c r="L17" s="238"/>
      <c r="M17" s="238"/>
      <c r="N17" s="272"/>
      <c r="O17" s="233"/>
      <c r="P17" s="233"/>
      <c r="Q17" s="233"/>
      <c r="R17" s="233"/>
      <c r="S17" s="233"/>
    </row>
    <row r="18" spans="1:23" ht="24" customHeight="1">
      <c r="A18" s="272"/>
      <c r="B18" s="271"/>
      <c r="C18" s="173">
        <f>IF('Intensidad y Ángulo incli.'!O20=2,VLOOKUP(V18,'Intensidad y Ángulo incli.'!H25:I36,2,FALSE),'Cálculo de consumo'!K34)</f>
        <v>1932.2114810836617</v>
      </c>
      <c r="D18" s="173" t="str">
        <f>IF('Intensidad y Ángulo incli.'!O20=2,VLOOKUP('Dimensionado Batería'!C18,'Intensidad y Ángulo incli.'!E25:K36,7,FALSE),'Intensidad y Ángulo incli.'!T30)</f>
        <v>Diciembre</v>
      </c>
      <c r="E18" s="220">
        <v>3</v>
      </c>
      <c r="F18" s="220">
        <f>P8/10</f>
        <v>0.7</v>
      </c>
      <c r="G18" s="220">
        <f>Q8/10</f>
        <v>1</v>
      </c>
      <c r="H18" s="173">
        <f>IF('Dimensionado PV'!E7=1,(C18*U18*E18)/(F18*G18),IF('Dimensionado PV'!E7=2,(C18*(U18*0.66)*E18)/(F18*G18),IF('Dimensionado PV'!E7=3,(C18*(U18-0.61)*E18)/(F18*G18),IF('Dimensionado PV'!E7=4,(C18*(U18/2)*E18)/(F18*G18),IF('Dimensionado PV'!E7=5,(C18*(U18/3)*E18)/(F18*G18),IF('Dimensionado PV'!E7=6,(C18*(U18/4)*E18)/(F18*G18)))))))</f>
        <v>8843.2000324219371</v>
      </c>
      <c r="I18" s="203">
        <f>F14</f>
        <v>1616</v>
      </c>
      <c r="J18" s="203">
        <f>ROUNDUP(IF(I18=0,"0",(H18/I18)),0)</f>
        <v>6</v>
      </c>
      <c r="K18" s="220">
        <v>6</v>
      </c>
      <c r="L18" s="238"/>
      <c r="M18" s="238"/>
      <c r="N18" s="272"/>
      <c r="O18" s="233"/>
      <c r="P18" s="233"/>
      <c r="Q18" s="233"/>
      <c r="R18" s="233"/>
      <c r="S18" s="233"/>
      <c r="U18" s="535">
        <f>(1+SQRT(5))/2</f>
        <v>1.6180339887498949</v>
      </c>
      <c r="V18" s="108">
        <f>'Intensidad y Ángulo incli.'!S30</f>
        <v>536.13791233934819</v>
      </c>
    </row>
    <row r="19" spans="1:23">
      <c r="A19" s="272"/>
      <c r="B19" s="271"/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72"/>
      <c r="O19" s="233"/>
      <c r="R19" s="233"/>
      <c r="S19" s="233"/>
    </row>
    <row r="20" spans="1:23" ht="13.5" thickBot="1">
      <c r="A20" s="272"/>
      <c r="B20" s="271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72"/>
      <c r="O20" s="233"/>
      <c r="R20" s="233"/>
      <c r="S20" s="233"/>
    </row>
    <row r="21" spans="1:23" ht="54.95" customHeight="1" thickBot="1">
      <c r="A21" s="272"/>
      <c r="B21" s="271"/>
      <c r="C21" s="238"/>
      <c r="D21" s="238"/>
      <c r="E21" s="233"/>
      <c r="F21" s="225" t="s">
        <v>208</v>
      </c>
      <c r="G21" s="226" t="s">
        <v>210</v>
      </c>
      <c r="H21" s="228" t="s">
        <v>39</v>
      </c>
      <c r="I21" s="228" t="s">
        <v>47</v>
      </c>
      <c r="J21" s="229" t="s">
        <v>40</v>
      </c>
      <c r="K21" s="238"/>
      <c r="L21" s="238"/>
      <c r="M21" s="233"/>
      <c r="N21" s="272"/>
      <c r="O21" s="233"/>
      <c r="P21" s="233"/>
      <c r="Q21" s="233"/>
      <c r="R21" s="233"/>
      <c r="S21" s="233"/>
    </row>
    <row r="22" spans="1:23" s="212" customFormat="1" ht="30" customHeight="1">
      <c r="A22" s="284"/>
      <c r="B22" s="278"/>
      <c r="C22" s="238"/>
      <c r="D22" s="238"/>
      <c r="E22" s="286"/>
      <c r="F22" s="203">
        <f>IF('Intensidad y Ángulo incli.'!O20=2,'Intensidad y Ángulo incli.'!E10,'Cálculo de consumo'!F34)</f>
        <v>48</v>
      </c>
      <c r="G22" s="203">
        <f>F11</f>
        <v>144</v>
      </c>
      <c r="H22" s="210">
        <f>IF(G22=0,"0",F22/G22)</f>
        <v>0.33333333333333331</v>
      </c>
      <c r="I22" s="210">
        <f>K18</f>
        <v>6</v>
      </c>
      <c r="J22" s="210">
        <f>I22*H22</f>
        <v>2</v>
      </c>
      <c r="K22" s="238"/>
      <c r="L22" s="238"/>
      <c r="M22" s="286"/>
      <c r="N22" s="284"/>
      <c r="O22" s="286"/>
      <c r="P22" s="286"/>
      <c r="Q22" s="286"/>
      <c r="R22" s="286"/>
      <c r="S22" s="286"/>
      <c r="T22" s="493"/>
      <c r="U22" s="493"/>
    </row>
    <row r="23" spans="1:23" s="212" customFormat="1" ht="30" customHeight="1" thickBot="1">
      <c r="A23" s="284"/>
      <c r="B23" s="278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86"/>
      <c r="N23" s="284"/>
      <c r="O23" s="286"/>
      <c r="P23" s="286"/>
      <c r="Q23" s="286"/>
      <c r="R23" s="286"/>
      <c r="S23" s="286"/>
      <c r="T23" s="493"/>
      <c r="U23" s="493"/>
    </row>
    <row r="24" spans="1:23" s="212" customFormat="1" ht="54.95" customHeight="1" thickBot="1">
      <c r="A24" s="284"/>
      <c r="B24" s="278"/>
      <c r="C24" s="225" t="s">
        <v>38</v>
      </c>
      <c r="D24" s="226" t="s">
        <v>493</v>
      </c>
      <c r="E24" s="226" t="s">
        <v>45</v>
      </c>
      <c r="F24" s="227" t="s">
        <v>46</v>
      </c>
      <c r="G24" s="227" t="s">
        <v>48</v>
      </c>
      <c r="H24" s="227" t="s">
        <v>450</v>
      </c>
      <c r="I24" s="227" t="s">
        <v>499</v>
      </c>
      <c r="J24" s="227" t="s">
        <v>438</v>
      </c>
      <c r="K24" s="294" t="s">
        <v>440</v>
      </c>
      <c r="L24" s="295"/>
      <c r="M24" s="286"/>
      <c r="N24" s="284"/>
      <c r="O24" s="286"/>
      <c r="P24" s="286"/>
      <c r="Q24" s="286"/>
      <c r="R24" s="286"/>
      <c r="S24" s="286"/>
      <c r="T24" s="493"/>
      <c r="U24" s="493"/>
    </row>
    <row r="25" spans="1:23" s="212" customFormat="1" ht="30" customHeight="1">
      <c r="A25" s="284"/>
      <c r="B25" s="278"/>
      <c r="C25" s="203">
        <f>K18</f>
        <v>6</v>
      </c>
      <c r="D25" s="173">
        <f>I18</f>
        <v>1616</v>
      </c>
      <c r="E25" s="173">
        <f>D25*C25</f>
        <v>9696</v>
      </c>
      <c r="F25" s="211">
        <f>F18</f>
        <v>0.7</v>
      </c>
      <c r="G25" s="203">
        <f>E25*F25</f>
        <v>6787.2</v>
      </c>
      <c r="H25" s="217">
        <f>(C18*0.75/E25)</f>
        <v>0.14945942768283274</v>
      </c>
      <c r="I25" s="217">
        <f>((C18*E18)/E25)+H25</f>
        <v>0.74729713841416368</v>
      </c>
      <c r="J25" s="492">
        <f>U25</f>
        <v>9</v>
      </c>
      <c r="K25" s="492">
        <f>W25</f>
        <v>5</v>
      </c>
      <c r="L25" s="286"/>
      <c r="M25" s="286"/>
      <c r="N25" s="284"/>
      <c r="O25" s="286"/>
      <c r="P25" s="286"/>
      <c r="Q25" s="286"/>
      <c r="R25" s="286"/>
      <c r="S25" s="286"/>
      <c r="T25" s="203">
        <f>IF(AND('Intensidad y Ángulo incli.'!O20=2,'Intensidad y Ángulo incli.'!E25=0,'Intensidad y Ángulo incli.'!E26=0,'Intensidad y Ángulo incli.'!E36=0),"NO APLICA",ROUND(G25/(('Dimensionado PV'!E22*'Dimensionado PV'!E15*AVERAGE('Intensidad y Ángulo incli.'!G25:G27)-C18*0.8)),0))</f>
        <v>9</v>
      </c>
      <c r="U25" s="212">
        <f>IF(T25&lt;1,"DEGRADACIÓN DE BATERÍAS",T25)</f>
        <v>9</v>
      </c>
      <c r="V25" s="203">
        <f>IF(AND('Intensidad y Ángulo incli.'!O20=2,'Intensidad y Ángulo incli.'!E28=0,'Intensidad y Ángulo incli.'!E29=0,'Intensidad y Ángulo incli.'!E30=0,'Intensidad y Ángulo incli.'!E31=0,'Intensidad y Ángulo incli.'!E32=0),"NO APLICA",ROUND(G25/(('Dimensionado PV'!E22*'Dimensionado PV'!E15*AVERAGE('Intensidad y Ángulo incli.'!G30:G32)-C18)),0))</f>
        <v>5</v>
      </c>
      <c r="W25" s="212">
        <f>IF(V25&lt;1,"DEGRADACIÓN DE BATERÍAS",V25)</f>
        <v>5</v>
      </c>
    </row>
    <row r="26" spans="1:23" s="212" customFormat="1" ht="18.75" customHeight="1">
      <c r="A26" s="284"/>
      <c r="B26" s="278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4"/>
      <c r="O26" s="286"/>
      <c r="P26" s="286"/>
      <c r="Q26" s="286"/>
      <c r="R26" s="286"/>
      <c r="S26" s="286"/>
      <c r="T26" s="493"/>
      <c r="U26" s="493"/>
    </row>
    <row r="27" spans="1:23" ht="13.5" thickBot="1">
      <c r="A27" s="272"/>
      <c r="B27" s="285"/>
      <c r="C27" s="288"/>
      <c r="D27" s="288"/>
      <c r="E27" s="288"/>
      <c r="F27" s="288"/>
      <c r="G27" s="288"/>
      <c r="H27" s="288"/>
      <c r="I27" s="288"/>
      <c r="J27" s="288"/>
      <c r="K27" s="288"/>
      <c r="L27" s="288"/>
      <c r="M27" s="288"/>
      <c r="N27" s="289"/>
      <c r="O27" s="233"/>
      <c r="P27" s="233"/>
      <c r="Q27" s="233"/>
      <c r="R27" s="233"/>
      <c r="S27" s="233"/>
    </row>
    <row r="28" spans="1:23">
      <c r="A28" s="233"/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</row>
    <row r="29" spans="1:23">
      <c r="A29" s="233"/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</row>
    <row r="30" spans="1:23">
      <c r="A30" s="233"/>
      <c r="B30" s="233"/>
      <c r="C30" s="233"/>
      <c r="D30" s="233"/>
      <c r="E30" s="233"/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</row>
    <row r="31" spans="1:23">
      <c r="A31" s="233"/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</row>
    <row r="32" spans="1:23">
      <c r="A32" s="233"/>
      <c r="B32" s="233"/>
      <c r="C32" s="233"/>
      <c r="D32" s="233"/>
      <c r="E32" s="233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</row>
    <row r="33" spans="1:19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</row>
    <row r="34" spans="1:19">
      <c r="A34" s="233"/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</row>
    <row r="35" spans="1:19">
      <c r="A35" s="233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</row>
    <row r="36" spans="1:19">
      <c r="A36" s="233"/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</row>
    <row r="37" spans="1:19">
      <c r="A37" s="233"/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</row>
    <row r="38" spans="1:19">
      <c r="A38" s="233"/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</row>
    <row r="39" spans="1:19">
      <c r="A39" s="233"/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</row>
    <row r="40" spans="1:19">
      <c r="A40" s="233"/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</row>
    <row r="41" spans="1:19">
      <c r="A41" s="233"/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</row>
    <row r="42" spans="1:19">
      <c r="A42" s="233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</row>
    <row r="43" spans="1:19">
      <c r="A43" s="233"/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</row>
    <row r="44" spans="1:19">
      <c r="A44" s="233"/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</row>
    <row r="45" spans="1:19">
      <c r="A45" s="233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</row>
  </sheetData>
  <sheetProtection formatCells="0" formatColumns="0" formatRows="0" insertColumns="0" insertRows="0" insertHyperlinks="0" deleteColumns="0" deleteRows="0" sort="0" autoFilter="0" pivotTables="0"/>
  <protectedRanges>
    <protectedRange sqref="E18:G18 F25 F8:G14" name="Desprotegidas"/>
  </protectedRanges>
  <mergeCells count="14">
    <mergeCell ref="E16:G16"/>
    <mergeCell ref="F14:G14"/>
    <mergeCell ref="F11:G11"/>
    <mergeCell ref="E7:G7"/>
    <mergeCell ref="F8:G8"/>
    <mergeCell ref="F10:G10"/>
    <mergeCell ref="F12:G12"/>
    <mergeCell ref="F13:G13"/>
    <mergeCell ref="K2:M2"/>
    <mergeCell ref="K4:M4"/>
    <mergeCell ref="F2:H2"/>
    <mergeCell ref="F4:H4"/>
    <mergeCell ref="F9:G9"/>
    <mergeCell ref="I7:K7"/>
  </mergeCells>
  <phoneticPr fontId="12" type="noConversion"/>
  <printOptions horizontalCentered="1" verticalCentered="1"/>
  <pageMargins left="0" right="0" top="0" bottom="0" header="0" footer="0"/>
  <pageSetup paperSize="9" scale="75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5">
    <pageSetUpPr fitToPage="1"/>
  </sheetPr>
  <dimension ref="A1:W39"/>
  <sheetViews>
    <sheetView showGridLines="0" topLeftCell="A10" zoomScale="80" zoomScaleNormal="80" zoomScaleSheetLayoutView="75" workbookViewId="0">
      <selection activeCell="I22" sqref="I22"/>
    </sheetView>
  </sheetViews>
  <sheetFormatPr baseColWidth="10" defaultRowHeight="12.75"/>
  <cols>
    <col min="1" max="1" width="6.7109375" customWidth="1"/>
    <col min="2" max="2" width="8.7109375" customWidth="1"/>
    <col min="3" max="3" width="13.28515625" customWidth="1"/>
    <col min="4" max="4" width="19.5703125" customWidth="1"/>
    <col min="5" max="5" width="17.5703125" customWidth="1"/>
    <col min="6" max="6" width="18.85546875" customWidth="1"/>
    <col min="7" max="7" width="14.28515625" customWidth="1"/>
    <col min="8" max="8" width="17.85546875" bestFit="1" customWidth="1"/>
    <col min="9" max="9" width="17" customWidth="1"/>
    <col min="10" max="10" width="16.7109375" customWidth="1"/>
    <col min="11" max="12" width="15.85546875" customWidth="1"/>
    <col min="13" max="13" width="0.140625" customWidth="1"/>
    <col min="14" max="14" width="13.140625" customWidth="1"/>
    <col min="16" max="16" width="8.7109375" customWidth="1"/>
    <col min="18" max="19" width="8.7109375" customWidth="1"/>
    <col min="20" max="20" width="8.5703125" customWidth="1"/>
    <col min="21" max="21" width="9.28515625" customWidth="1"/>
    <col min="22" max="22" width="9.42578125" customWidth="1"/>
    <col min="23" max="23" width="10.140625" customWidth="1"/>
  </cols>
  <sheetData>
    <row r="1" spans="1:17">
      <c r="A1" s="272"/>
      <c r="B1" s="273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5"/>
      <c r="P1" s="233"/>
      <c r="Q1" s="233"/>
    </row>
    <row r="2" spans="1:17" ht="15">
      <c r="A2" s="272"/>
      <c r="B2" s="271"/>
      <c r="C2" s="237" t="s">
        <v>49</v>
      </c>
      <c r="D2" s="241"/>
      <c r="E2" s="586" t="str">
        <f>'Cálculo de consumo'!E2</f>
        <v>Prueba</v>
      </c>
      <c r="F2" s="586"/>
      <c r="G2" s="586"/>
      <c r="H2" s="237" t="s">
        <v>50</v>
      </c>
      <c r="I2" s="237"/>
      <c r="J2" s="584" t="str">
        <f>'Cálculo de consumo'!J2</f>
        <v>Prueba</v>
      </c>
      <c r="K2" s="584"/>
      <c r="L2" s="584"/>
      <c r="M2" s="45"/>
      <c r="N2" s="281"/>
      <c r="O2" s="280"/>
      <c r="P2" s="233"/>
      <c r="Q2" s="233"/>
    </row>
    <row r="3" spans="1:17">
      <c r="A3" s="272"/>
      <c r="B3" s="271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72"/>
      <c r="P3" s="233"/>
      <c r="Q3" s="233"/>
    </row>
    <row r="4" spans="1:17" ht="15">
      <c r="A4" s="272"/>
      <c r="B4" s="271"/>
      <c r="C4" s="270" t="s">
        <v>51</v>
      </c>
      <c r="D4" s="241"/>
      <c r="E4" s="587" t="str">
        <f>'Cálculo de consumo'!E4</f>
        <v>Prueba</v>
      </c>
      <c r="F4" s="587"/>
      <c r="G4" s="587"/>
      <c r="H4" s="237" t="s">
        <v>52</v>
      </c>
      <c r="I4" s="237"/>
      <c r="J4" s="584" t="str">
        <f>'Cálculo de consumo'!J4</f>
        <v>Prueba</v>
      </c>
      <c r="K4" s="584"/>
      <c r="L4" s="584"/>
      <c r="M4" s="45"/>
      <c r="N4" s="281"/>
      <c r="O4" s="280"/>
      <c r="P4" s="233"/>
      <c r="Q4" s="233"/>
    </row>
    <row r="5" spans="1:17" ht="20.25">
      <c r="A5" s="272"/>
      <c r="B5" s="271"/>
      <c r="C5" s="296" t="s">
        <v>54</v>
      </c>
      <c r="D5" s="239"/>
      <c r="E5" s="239"/>
      <c r="F5" s="239"/>
      <c r="G5" s="238"/>
      <c r="H5" s="238"/>
      <c r="I5" s="238"/>
      <c r="J5" s="238"/>
      <c r="K5" s="238"/>
      <c r="L5" s="238"/>
      <c r="M5" s="238"/>
      <c r="N5" s="238"/>
      <c r="O5" s="272"/>
      <c r="P5" s="233"/>
      <c r="Q5" s="233"/>
    </row>
    <row r="6" spans="1:17" ht="20.25">
      <c r="A6" s="272"/>
      <c r="B6" s="271"/>
      <c r="C6" s="296"/>
      <c r="D6" s="239"/>
      <c r="E6" s="239"/>
      <c r="F6" s="239"/>
      <c r="G6" s="238"/>
      <c r="H6" s="238"/>
      <c r="I6" s="238"/>
      <c r="J6" s="238"/>
      <c r="K6" s="238"/>
      <c r="L6" s="238"/>
      <c r="M6" s="238"/>
      <c r="N6" s="238"/>
      <c r="O6" s="272"/>
      <c r="P6" s="233"/>
      <c r="Q6" s="233"/>
    </row>
    <row r="7" spans="1:17" ht="18" customHeight="1">
      <c r="A7" s="272"/>
      <c r="B7" s="271"/>
      <c r="C7" s="296"/>
      <c r="D7" s="601" t="s">
        <v>498</v>
      </c>
      <c r="E7" s="602">
        <v>2</v>
      </c>
      <c r="F7" s="239"/>
      <c r="G7" s="238"/>
      <c r="H7" s="238"/>
      <c r="I7" s="238"/>
      <c r="J7" s="238"/>
      <c r="K7" s="238"/>
      <c r="L7" s="238"/>
      <c r="M7" s="238"/>
      <c r="N7" s="238"/>
      <c r="O7" s="272"/>
      <c r="P7" s="233"/>
      <c r="Q7" s="233"/>
    </row>
    <row r="8" spans="1:17" ht="18" customHeight="1">
      <c r="A8" s="272"/>
      <c r="B8" s="271"/>
      <c r="C8" s="296"/>
      <c r="D8" s="601"/>
      <c r="E8" s="602"/>
      <c r="F8" s="239"/>
      <c r="G8" s="238"/>
      <c r="H8" s="238"/>
      <c r="I8" s="238"/>
      <c r="J8" s="238"/>
      <c r="K8" s="238"/>
      <c r="L8" s="238"/>
      <c r="M8" s="238"/>
      <c r="N8" s="238"/>
      <c r="O8" s="272"/>
      <c r="P8" s="233"/>
      <c r="Q8" s="233"/>
    </row>
    <row r="9" spans="1:17" ht="13.5" thickBot="1">
      <c r="A9" s="272"/>
      <c r="B9" s="271"/>
      <c r="C9" s="233"/>
      <c r="D9" s="411"/>
      <c r="E9" s="411"/>
      <c r="F9" s="233"/>
      <c r="G9" s="233"/>
      <c r="H9" s="233"/>
      <c r="I9" s="233"/>
      <c r="J9" s="233"/>
      <c r="K9" s="233"/>
      <c r="L9" s="233"/>
      <c r="M9" s="233"/>
      <c r="N9" s="233"/>
      <c r="O9" s="272"/>
      <c r="P9" s="233"/>
      <c r="Q9" s="233"/>
    </row>
    <row r="10" spans="1:17" ht="30.75" customHeight="1" thickBot="1">
      <c r="A10" s="272"/>
      <c r="B10" s="271"/>
      <c r="C10" s="233"/>
      <c r="D10" s="598" t="s">
        <v>202</v>
      </c>
      <c r="E10" s="599"/>
      <c r="F10" s="599"/>
      <c r="G10" s="600"/>
      <c r="H10" s="233"/>
      <c r="I10" s="555" t="s">
        <v>441</v>
      </c>
      <c r="J10" s="555"/>
      <c r="K10" s="555"/>
      <c r="L10" s="555"/>
      <c r="N10" s="233"/>
      <c r="O10" s="272"/>
      <c r="P10" s="233"/>
      <c r="Q10" s="233"/>
    </row>
    <row r="11" spans="1:17" ht="30" customHeight="1">
      <c r="A11" s="272"/>
      <c r="B11" s="271"/>
      <c r="C11" s="233"/>
      <c r="D11" s="302" t="s">
        <v>201</v>
      </c>
      <c r="E11" s="721" t="s">
        <v>544</v>
      </c>
      <c r="F11" s="597"/>
      <c r="G11" s="597"/>
      <c r="H11" s="318"/>
      <c r="I11" s="314" t="str">
        <f>IF(J19&lt;H19,"MÓDULOS EN PARALELO MÍNIMOS INSUFICIENTES","")</f>
        <v/>
      </c>
      <c r="J11" s="314"/>
      <c r="K11" s="314"/>
      <c r="L11" s="315"/>
      <c r="M11" s="48"/>
      <c r="N11" s="233"/>
      <c r="O11" s="272"/>
      <c r="P11" s="233"/>
      <c r="Q11" s="233"/>
    </row>
    <row r="12" spans="1:17" ht="30" customHeight="1">
      <c r="A12" s="272"/>
      <c r="B12" s="271"/>
      <c r="C12" s="233"/>
      <c r="D12" s="302" t="s">
        <v>44</v>
      </c>
      <c r="E12" s="595" t="s">
        <v>516</v>
      </c>
      <c r="F12" s="596"/>
      <c r="G12" s="596"/>
      <c r="H12" s="318"/>
      <c r="I12" s="309" t="str">
        <f>IF(K19&lt;I19,"MÓDULOS EN SERIE INSUFICIENTES","")</f>
        <v/>
      </c>
      <c r="J12" s="310"/>
      <c r="K12" s="310"/>
      <c r="L12" s="310"/>
      <c r="N12" s="233"/>
      <c r="O12" s="272"/>
      <c r="P12" s="233"/>
      <c r="Q12" s="233"/>
    </row>
    <row r="13" spans="1:17" ht="30" customHeight="1">
      <c r="A13" s="272"/>
      <c r="B13" s="271"/>
      <c r="C13" s="233"/>
      <c r="D13" s="300" t="s">
        <v>203</v>
      </c>
      <c r="E13" s="596">
        <v>240</v>
      </c>
      <c r="F13" s="596"/>
      <c r="G13" s="596"/>
      <c r="H13" s="318"/>
      <c r="I13" s="309" t="str">
        <f>IF(OR((N22*0.95)&lt;J22,(N22*0.95)&lt;I22),"PUEDE QUE DURANTE PERÍODOS DE MAX. TEMP. NO SE DEN CARGAS DE FLOTACIÓN Y/O ECUALIZACIÓN","")</f>
        <v/>
      </c>
      <c r="J13" s="310"/>
      <c r="K13" s="310"/>
      <c r="L13" s="310"/>
      <c r="N13" s="233"/>
      <c r="O13" s="272"/>
      <c r="P13" s="233"/>
      <c r="Q13" s="233"/>
    </row>
    <row r="14" spans="1:17" ht="30" customHeight="1">
      <c r="A14" s="272"/>
      <c r="B14" s="271"/>
      <c r="C14" s="233"/>
      <c r="D14" s="302" t="s">
        <v>204</v>
      </c>
      <c r="E14" s="303">
        <v>30.8</v>
      </c>
      <c r="F14" s="304" t="s">
        <v>206</v>
      </c>
      <c r="G14" s="301">
        <v>37.200000000000003</v>
      </c>
      <c r="H14" s="318"/>
      <c r="I14" s="412" t="str">
        <f>IF('Dimensionado Batería'!T25&lt;0,"ESTA CONFIGURACIÓN DISMINUYE LA VIDA ÚTIL DEL BANCO DE BATERÍAS","")</f>
        <v/>
      </c>
      <c r="J14" s="309"/>
      <c r="K14" s="309"/>
      <c r="L14" s="309"/>
      <c r="N14" s="233"/>
      <c r="O14" s="272"/>
      <c r="P14" s="233"/>
      <c r="Q14" s="233"/>
    </row>
    <row r="15" spans="1:17" ht="30" customHeight="1">
      <c r="A15" s="272"/>
      <c r="B15" s="271"/>
      <c r="C15" s="233"/>
      <c r="D15" s="300" t="s">
        <v>205</v>
      </c>
      <c r="E15" s="303">
        <v>7.8</v>
      </c>
      <c r="F15" s="299" t="s">
        <v>207</v>
      </c>
      <c r="G15" s="301">
        <v>8.5500000000000007</v>
      </c>
      <c r="H15" s="318"/>
      <c r="I15" s="314" t="str">
        <f>IF(AND(E7=6,J19&gt;(1.1*H19)),"DEMASIADOS MÓDULOS EN PARALELO","")</f>
        <v/>
      </c>
      <c r="J15" s="309"/>
      <c r="K15" s="309"/>
      <c r="L15" s="309"/>
      <c r="N15" s="233"/>
      <c r="O15" s="272"/>
      <c r="P15" s="233"/>
      <c r="Q15" s="233"/>
    </row>
    <row r="16" spans="1:17">
      <c r="A16" s="272"/>
      <c r="B16" s="271"/>
      <c r="C16" s="238"/>
      <c r="D16" s="238"/>
      <c r="E16" s="238"/>
      <c r="F16" s="238"/>
      <c r="G16" s="238"/>
      <c r="H16" s="238"/>
      <c r="I16" s="238"/>
      <c r="J16" s="233"/>
      <c r="K16" s="233"/>
      <c r="L16" s="233"/>
      <c r="N16" s="238"/>
      <c r="O16" s="272"/>
      <c r="P16" s="233"/>
      <c r="Q16" s="233"/>
    </row>
    <row r="17" spans="1:23" ht="13.5" thickBot="1">
      <c r="A17" s="272"/>
      <c r="B17" s="271"/>
      <c r="C17" s="238"/>
      <c r="D17" s="238"/>
      <c r="E17" s="256"/>
      <c r="F17" s="238"/>
      <c r="G17" s="238"/>
      <c r="H17" s="238"/>
      <c r="I17" s="233"/>
      <c r="J17" s="298"/>
      <c r="K17" s="305"/>
      <c r="L17" s="233"/>
      <c r="N17" s="238"/>
      <c r="O17" s="272"/>
      <c r="P17" s="233"/>
      <c r="Q17" s="233"/>
    </row>
    <row r="18" spans="1:23" ht="39" thickBot="1">
      <c r="A18" s="272"/>
      <c r="B18" s="271"/>
      <c r="C18" s="238"/>
      <c r="D18" s="225" t="s">
        <v>221</v>
      </c>
      <c r="E18" s="224" t="s">
        <v>55</v>
      </c>
      <c r="F18" s="226" t="s">
        <v>222</v>
      </c>
      <c r="G18" s="227" t="s">
        <v>223</v>
      </c>
      <c r="H18" s="294" t="s">
        <v>453</v>
      </c>
      <c r="I18" s="294" t="s">
        <v>456</v>
      </c>
      <c r="J18" s="224" t="s">
        <v>452</v>
      </c>
      <c r="K18" s="224" t="s">
        <v>455</v>
      </c>
      <c r="L18" s="294" t="s">
        <v>457</v>
      </c>
      <c r="M18" s="316"/>
      <c r="N18" s="238"/>
      <c r="O18" s="272"/>
      <c r="P18" s="233"/>
      <c r="Q18" s="233"/>
    </row>
    <row r="19" spans="1:23" ht="24" customHeight="1">
      <c r="A19" s="272"/>
      <c r="B19" s="271"/>
      <c r="C19" s="238"/>
      <c r="D19" s="173">
        <f>IF(E7=6,'Intensidad y Ángulo incli.'!S30,W19)</f>
        <v>446.45840522302825</v>
      </c>
      <c r="E19" s="293">
        <v>0.95</v>
      </c>
      <c r="F19" s="173">
        <f>D19/E19</f>
        <v>469.95621602424029</v>
      </c>
      <c r="G19" s="173">
        <f>E15</f>
        <v>7.8</v>
      </c>
      <c r="H19" s="203">
        <f>ROUNDUP(F19/G19,0)</f>
        <v>61</v>
      </c>
      <c r="I19" s="203">
        <f>ROUNDUP(C22/E14,0)</f>
        <v>2</v>
      </c>
      <c r="J19" s="220">
        <v>61</v>
      </c>
      <c r="K19" s="220">
        <v>2</v>
      </c>
      <c r="L19" s="306">
        <f>G22*E13</f>
        <v>29280</v>
      </c>
      <c r="M19" s="3"/>
      <c r="N19" s="238"/>
      <c r="O19" s="272"/>
      <c r="P19" s="233"/>
      <c r="Q19" s="233"/>
      <c r="R19" s="333">
        <f>'Dimensionado Batería'!G25</f>
        <v>6787.2</v>
      </c>
      <c r="S19" s="48">
        <f>'Intensidad y Ángulo incli.'!R30</f>
        <v>3.6039448742820293</v>
      </c>
      <c r="T19">
        <f>(1/SQRT(5))*((((1+SQRT(5))/2)^S20)-(((1-SQRT(5))/2)^S20))</f>
        <v>21</v>
      </c>
      <c r="U19">
        <f>R19/(S19*T19)</f>
        <v>89.679507116319925</v>
      </c>
      <c r="V19" s="108">
        <f>'Intensidad y Ángulo incli.'!S30</f>
        <v>536.13791233934819</v>
      </c>
      <c r="W19" s="108">
        <f>V19-U19</f>
        <v>446.45840522302825</v>
      </c>
    </row>
    <row r="20" spans="1:23" ht="20.100000000000001" customHeight="1" thickBot="1">
      <c r="A20" s="272"/>
      <c r="B20" s="271"/>
      <c r="C20" s="238"/>
      <c r="D20" s="238"/>
      <c r="E20" s="238"/>
      <c r="F20" s="238"/>
      <c r="G20" s="238"/>
      <c r="H20" s="238"/>
      <c r="I20" s="319"/>
      <c r="J20" s="238"/>
      <c r="K20" s="256"/>
      <c r="L20" s="233"/>
      <c r="M20" s="3"/>
      <c r="N20" s="238"/>
      <c r="O20" s="272"/>
      <c r="P20" s="233"/>
      <c r="Q20" s="233"/>
      <c r="S20" s="534">
        <f>IF(E7=1,7,IF(E7=2,8,IF(E7=3,9,IF(E7=4,10,IF(E7=5,11,"")))))</f>
        <v>8</v>
      </c>
    </row>
    <row r="21" spans="1:23" ht="51.75" thickBot="1">
      <c r="A21" s="272"/>
      <c r="B21" s="271"/>
      <c r="C21" s="225" t="s">
        <v>56</v>
      </c>
      <c r="D21" s="226" t="s">
        <v>57</v>
      </c>
      <c r="E21" s="228" t="s">
        <v>458</v>
      </c>
      <c r="F21" s="228" t="s">
        <v>459</v>
      </c>
      <c r="G21" s="229" t="s">
        <v>58</v>
      </c>
      <c r="H21" s="307" t="s">
        <v>449</v>
      </c>
      <c r="I21" s="226" t="s">
        <v>461</v>
      </c>
      <c r="J21" s="226" t="s">
        <v>462</v>
      </c>
      <c r="K21" s="224" t="s">
        <v>263</v>
      </c>
      <c r="L21" s="226" t="s">
        <v>264</v>
      </c>
      <c r="M21" s="35"/>
      <c r="N21" s="317" t="s">
        <v>305</v>
      </c>
      <c r="O21" s="272"/>
      <c r="P21" s="233"/>
      <c r="Q21" s="233"/>
    </row>
    <row r="22" spans="1:23" ht="24" customHeight="1">
      <c r="A22" s="272"/>
      <c r="B22" s="271"/>
      <c r="C22" s="203">
        <f>IF('Intensidad y Ángulo incli.'!O20=2,'Intensidad y Ángulo incli.'!E10,'Cálculo de consumo'!F34)</f>
        <v>48</v>
      </c>
      <c r="D22" s="173">
        <f>E14</f>
        <v>30.8</v>
      </c>
      <c r="E22" s="210">
        <f>J19</f>
        <v>61</v>
      </c>
      <c r="F22" s="210">
        <f>K19</f>
        <v>2</v>
      </c>
      <c r="G22" s="210">
        <f>E22*F22</f>
        <v>122</v>
      </c>
      <c r="H22" s="173">
        <f>G14*F22</f>
        <v>74.400000000000006</v>
      </c>
      <c r="I22" s="173">
        <f>IF('Dimensionado Batería'!F12&lt;3,('Dimensionado PV'!C22/2)*'Dimensionado Batería'!F12,'Dimensionado Batería'!F12*'Dimensionado PV'!F22)</f>
        <v>54</v>
      </c>
      <c r="J22" s="173">
        <f>IF('Dimensionado Batería'!F13&lt;3,('Dimensionado PV'!C22/2)*'Dimensionado Batería'!F13,'Dimensionado Batería'!F13*'Dimensionado PV'!F22)</f>
        <v>56.400000000000006</v>
      </c>
      <c r="K22" s="220">
        <v>30</v>
      </c>
      <c r="L22" s="173">
        <f>K22+((47-20)/800)*900</f>
        <v>60.375</v>
      </c>
      <c r="M22" s="56">
        <f>(((L22-25)*0.5)*H22)/100</f>
        <v>13.159500000000001</v>
      </c>
      <c r="N22" s="203">
        <f>H22-M22</f>
        <v>61.240500000000004</v>
      </c>
      <c r="O22" s="272"/>
      <c r="P22" s="233"/>
      <c r="Q22" s="233"/>
    </row>
    <row r="23" spans="1:23" ht="12.75" customHeight="1">
      <c r="A23" s="272"/>
      <c r="B23" s="271"/>
      <c r="C23" s="238"/>
      <c r="D23" s="238"/>
      <c r="E23" s="238"/>
      <c r="F23" s="233"/>
      <c r="G23" s="233"/>
      <c r="H23" s="233"/>
      <c r="I23" s="233"/>
      <c r="J23" s="238"/>
      <c r="K23" s="238"/>
      <c r="L23" s="238"/>
      <c r="M23" s="238"/>
      <c r="N23" s="238"/>
      <c r="O23" s="272"/>
      <c r="P23" s="233"/>
      <c r="Q23" s="233"/>
    </row>
    <row r="24" spans="1:23" ht="12.75" customHeight="1">
      <c r="A24" s="272"/>
      <c r="B24" s="271"/>
      <c r="C24" s="238"/>
      <c r="D24" s="238"/>
      <c r="E24" s="238"/>
      <c r="F24" s="233"/>
      <c r="G24" s="233"/>
      <c r="H24" s="233"/>
      <c r="I24" s="233"/>
      <c r="J24" s="238"/>
      <c r="K24" s="238"/>
      <c r="L24" s="238"/>
      <c r="M24" s="238"/>
      <c r="N24" s="238"/>
      <c r="O24" s="272"/>
      <c r="P24" s="233"/>
      <c r="Q24" s="233"/>
    </row>
    <row r="25" spans="1:23">
      <c r="A25" s="272"/>
      <c r="B25" s="271"/>
      <c r="C25" s="238"/>
      <c r="D25" s="238"/>
      <c r="E25" s="238"/>
      <c r="F25" s="233"/>
      <c r="G25" s="233"/>
      <c r="H25" s="233"/>
      <c r="I25" s="233"/>
      <c r="J25" s="238"/>
      <c r="K25" s="238"/>
      <c r="L25" s="238"/>
      <c r="M25" s="238"/>
      <c r="N25" s="238"/>
      <c r="O25" s="272"/>
      <c r="P25" s="233"/>
      <c r="Q25" s="233"/>
    </row>
    <row r="26" spans="1:23" ht="12.75" customHeight="1">
      <c r="A26" s="272"/>
      <c r="B26" s="271"/>
      <c r="C26" s="238"/>
      <c r="D26" s="238"/>
      <c r="E26" s="238"/>
      <c r="F26" s="233"/>
      <c r="G26" s="233"/>
      <c r="H26" s="233"/>
      <c r="I26" s="233"/>
      <c r="J26" s="238"/>
      <c r="K26" s="238"/>
      <c r="L26" s="238"/>
      <c r="M26" s="238"/>
      <c r="N26" s="238"/>
      <c r="O26" s="272"/>
      <c r="P26" s="233"/>
      <c r="Q26" s="233"/>
    </row>
    <row r="27" spans="1:23" ht="13.5" thickBot="1">
      <c r="A27" s="272"/>
      <c r="B27" s="285"/>
      <c r="C27" s="288"/>
      <c r="D27" s="288"/>
      <c r="E27" s="288"/>
      <c r="F27" s="288"/>
      <c r="G27" s="288"/>
      <c r="H27" s="288"/>
      <c r="I27" s="288"/>
      <c r="J27" s="288"/>
      <c r="K27" s="288"/>
      <c r="L27" s="288"/>
      <c r="M27" s="288"/>
      <c r="N27" s="288"/>
      <c r="O27" s="289"/>
      <c r="P27" s="233"/>
      <c r="Q27" s="233"/>
    </row>
    <row r="28" spans="1:23">
      <c r="A28" s="233"/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</row>
    <row r="29" spans="1:23">
      <c r="A29" s="233"/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</row>
    <row r="30" spans="1:23">
      <c r="A30" s="233"/>
      <c r="B30" s="233"/>
      <c r="C30" s="233"/>
      <c r="D30" s="233"/>
      <c r="E30" s="233"/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</row>
    <row r="31" spans="1:23">
      <c r="A31" s="233"/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</row>
    <row r="32" spans="1:23">
      <c r="A32" s="233"/>
      <c r="B32" s="233"/>
      <c r="C32" s="233"/>
      <c r="D32" s="233"/>
      <c r="E32" s="233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</row>
    <row r="33" spans="1:17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</row>
    <row r="34" spans="1:17">
      <c r="A34" s="233"/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</row>
    <row r="35" spans="1:17">
      <c r="A35" s="233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</row>
    <row r="36" spans="1:17">
      <c r="A36" s="233"/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</row>
    <row r="37" spans="1:17">
      <c r="A37" s="233"/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</row>
    <row r="38" spans="1:17">
      <c r="A38" s="233"/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</row>
    <row r="39" spans="1:17">
      <c r="A39" s="233"/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</row>
  </sheetData>
  <protectedRanges>
    <protectedRange sqref="E11:G13 E14:E15 G14:G15" name="Información Módulo"/>
    <protectedRange sqref="D13:D14 E19" name="desprotegidas"/>
  </protectedRanges>
  <mergeCells count="11">
    <mergeCell ref="E12:G12"/>
    <mergeCell ref="E13:G13"/>
    <mergeCell ref="J2:L2"/>
    <mergeCell ref="J4:L4"/>
    <mergeCell ref="E2:G2"/>
    <mergeCell ref="E4:G4"/>
    <mergeCell ref="E11:G11"/>
    <mergeCell ref="D10:G10"/>
    <mergeCell ref="I10:L10"/>
    <mergeCell ref="D7:D8"/>
    <mergeCell ref="E7:E8"/>
  </mergeCells>
  <phoneticPr fontId="12" type="noConversion"/>
  <printOptions horizontalCentered="1" verticalCentered="1"/>
  <pageMargins left="0" right="0" top="0" bottom="0" header="0" footer="0"/>
  <pageSetup paperSize="9" scale="70" orientation="landscape" horizontalDpi="300" verticalDpi="300" r:id="rId1"/>
  <headerFooter alignWithMargins="0"/>
  <cellWatches>
    <cellWatch r="L22"/>
  </cellWatche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6">
    <pageSetUpPr fitToPage="1"/>
  </sheetPr>
  <dimension ref="A1:AB34"/>
  <sheetViews>
    <sheetView showGridLines="0" topLeftCell="A4" zoomScale="90" zoomScaleNormal="90" workbookViewId="0">
      <selection activeCell="B10" sqref="B10"/>
    </sheetView>
  </sheetViews>
  <sheetFormatPr baseColWidth="10" defaultRowHeight="12.75"/>
  <cols>
    <col min="1" max="1" width="6.85546875" customWidth="1"/>
    <col min="2" max="2" width="8.7109375" customWidth="1"/>
    <col min="4" max="4" width="12.7109375" customWidth="1"/>
    <col min="5" max="5" width="11.140625" customWidth="1"/>
    <col min="6" max="6" width="10" customWidth="1"/>
    <col min="11" max="11" width="13.28515625" customWidth="1"/>
    <col min="18" max="22" width="11.42578125" customWidth="1"/>
    <col min="23" max="23" width="16.140625" customWidth="1"/>
    <col min="24" max="28" width="11.42578125" customWidth="1"/>
  </cols>
  <sheetData>
    <row r="1" spans="1:28">
      <c r="A1" s="272"/>
      <c r="B1" s="273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5"/>
      <c r="P1" s="269"/>
      <c r="Q1" s="269"/>
      <c r="R1" s="269"/>
    </row>
    <row r="2" spans="1:28">
      <c r="A2" s="272"/>
      <c r="B2" s="271"/>
      <c r="C2" s="238" t="s">
        <v>49</v>
      </c>
      <c r="D2" s="238"/>
      <c r="E2" s="603" t="str">
        <f>'Cálculo de consumo'!E2</f>
        <v>Prueba</v>
      </c>
      <c r="F2" s="603"/>
      <c r="G2" s="603"/>
      <c r="H2" s="324" t="s">
        <v>50</v>
      </c>
      <c r="I2" s="238"/>
      <c r="J2" s="603" t="str">
        <f>'Cálculo de consumo'!J2</f>
        <v>Prueba</v>
      </c>
      <c r="K2" s="603"/>
      <c r="L2" s="603"/>
      <c r="M2" s="271"/>
      <c r="N2" s="271"/>
      <c r="O2" s="328"/>
      <c r="P2" s="271"/>
      <c r="Q2" s="271"/>
      <c r="R2" s="271"/>
    </row>
    <row r="3" spans="1:28">
      <c r="A3" s="272"/>
      <c r="B3" s="271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72"/>
      <c r="P3" s="238"/>
      <c r="Q3" s="238"/>
      <c r="R3" s="238"/>
    </row>
    <row r="4" spans="1:28">
      <c r="A4" s="272"/>
      <c r="B4" s="271"/>
      <c r="C4" s="238" t="s">
        <v>51</v>
      </c>
      <c r="D4" s="238"/>
      <c r="E4" s="603" t="str">
        <f>'Cálculo de consumo'!E4</f>
        <v>Prueba</v>
      </c>
      <c r="F4" s="603"/>
      <c r="G4" s="603"/>
      <c r="H4" s="324" t="s">
        <v>52</v>
      </c>
      <c r="I4" s="238"/>
      <c r="J4" s="605" t="str">
        <f>'Cálculo de consumo'!J4</f>
        <v>Prueba</v>
      </c>
      <c r="K4" s="605"/>
      <c r="L4" s="605"/>
      <c r="M4" s="271"/>
      <c r="N4" s="271"/>
      <c r="O4" s="328"/>
      <c r="P4" s="271"/>
      <c r="Q4" s="271"/>
      <c r="R4" s="271"/>
    </row>
    <row r="5" spans="1:28" ht="20.25">
      <c r="A5" s="272"/>
      <c r="B5" s="271"/>
      <c r="C5" s="296" t="s">
        <v>524</v>
      </c>
      <c r="D5" s="323"/>
      <c r="E5" s="323"/>
      <c r="F5" s="323"/>
      <c r="G5" s="323"/>
      <c r="H5" s="323"/>
      <c r="I5" s="323"/>
      <c r="J5" s="323"/>
      <c r="K5" s="323"/>
      <c r="L5" s="238"/>
      <c r="M5" s="238"/>
      <c r="N5" s="233"/>
      <c r="O5" s="272"/>
      <c r="P5" s="233"/>
      <c r="Q5" s="233"/>
      <c r="R5" s="233"/>
    </row>
    <row r="6" spans="1:28">
      <c r="A6" s="272"/>
      <c r="B6" s="271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3"/>
      <c r="O6" s="272"/>
      <c r="P6" s="233"/>
      <c r="Q6" s="233"/>
      <c r="R6" s="233"/>
    </row>
    <row r="7" spans="1:28" ht="30" customHeight="1">
      <c r="A7" s="272"/>
      <c r="B7" s="271"/>
      <c r="C7" s="233"/>
      <c r="D7" s="496"/>
      <c r="K7" s="3"/>
      <c r="L7" s="3"/>
      <c r="M7" s="238"/>
      <c r="N7" s="233"/>
      <c r="O7" s="272"/>
      <c r="P7" s="233"/>
      <c r="Q7" s="233"/>
      <c r="R7" s="233"/>
      <c r="S7" s="497" t="s">
        <v>454</v>
      </c>
      <c r="T7" s="497"/>
      <c r="U7" s="497"/>
      <c r="V7" s="497"/>
      <c r="W7" s="497"/>
      <c r="X7" s="497"/>
      <c r="Y7" s="498"/>
      <c r="Z7" s="498"/>
      <c r="AA7" s="498"/>
      <c r="AB7" s="498"/>
    </row>
    <row r="8" spans="1:28" ht="30" customHeight="1">
      <c r="A8" s="272"/>
      <c r="B8" s="271"/>
      <c r="C8" s="233"/>
      <c r="K8" s="3"/>
      <c r="L8" s="3"/>
      <c r="M8" s="238"/>
      <c r="N8" s="233"/>
      <c r="O8" s="272"/>
      <c r="P8" s="233"/>
      <c r="Q8" s="233"/>
      <c r="R8" s="233"/>
      <c r="S8" s="604" t="s">
        <v>463</v>
      </c>
      <c r="T8" s="604"/>
      <c r="U8" s="499" t="s">
        <v>500</v>
      </c>
      <c r="V8" s="499" t="s">
        <v>511</v>
      </c>
      <c r="W8" s="499" t="s">
        <v>510</v>
      </c>
      <c r="X8" s="499"/>
      <c r="Y8" s="604" t="s">
        <v>465</v>
      </c>
      <c r="Z8" s="604"/>
      <c r="AA8" s="604" t="s">
        <v>466</v>
      </c>
      <c r="AB8" s="604"/>
    </row>
    <row r="9" spans="1:28" ht="20.100000000000001" customHeight="1">
      <c r="A9" s="272"/>
      <c r="B9" s="271"/>
      <c r="C9" s="233"/>
      <c r="K9" s="3"/>
      <c r="L9" s="3"/>
      <c r="M9" s="238"/>
      <c r="N9" s="233"/>
      <c r="O9" s="272"/>
      <c r="P9" s="233"/>
      <c r="Q9" s="233"/>
      <c r="R9" s="233"/>
      <c r="S9" s="500" t="s">
        <v>16</v>
      </c>
      <c r="T9" s="501">
        <f>(('Intensidad y Ángulo incli.'!J25*'Dimensionado PV'!$G$19*'Dimensionado PV'!$E$22)/1000)*'Dimensionado PV'!$C$22</f>
        <v>93.734693592868425</v>
      </c>
      <c r="U9" s="501">
        <f>IF('Intensidad y Ángulo incli.'!$O$20=1,('Intensidad y Ángulo incli.'!F25*'Dimensionado PV'!$C$22)/1000,('Intensidad y Ángulo incli.'!E25*'Dimensionado PV'!$C$22)/1000)</f>
        <v>92.746151092015765</v>
      </c>
      <c r="V9" s="501">
        <f>T9-U9</f>
        <v>0.9885425008526596</v>
      </c>
      <c r="W9" s="501"/>
      <c r="X9" s="501">
        <f>'Intensidad y Ángulo incli.'!J25</f>
        <v>4.1042583365239427</v>
      </c>
      <c r="Y9" s="500" t="s">
        <v>16</v>
      </c>
      <c r="Z9" s="501">
        <f>T9/('Dimensionado PV'!$L$19/1000)</f>
        <v>3.2013215024886756</v>
      </c>
      <c r="AA9" s="498"/>
      <c r="AB9" s="502">
        <f>'Intensidad y Ángulo incli.'!F25*'Dimensionado PV'!C22/1000</f>
        <v>92.746151092015765</v>
      </c>
    </row>
    <row r="10" spans="1:28" ht="20.100000000000001" customHeight="1">
      <c r="A10" s="272"/>
      <c r="B10" s="271"/>
      <c r="C10" s="233"/>
      <c r="K10" s="3"/>
      <c r="L10" s="3"/>
      <c r="M10" s="238"/>
      <c r="N10" s="233"/>
      <c r="O10" s="272"/>
      <c r="P10" s="233"/>
      <c r="Q10" s="233"/>
      <c r="R10" s="233"/>
      <c r="S10" s="500" t="s">
        <v>17</v>
      </c>
      <c r="T10" s="501">
        <f>(('Intensidad y Ángulo incli.'!J26*'Dimensionado PV'!$G$19*'Dimensionado PV'!$E$22)/1000)*'Dimensionado PV'!$C$22</f>
        <v>101.85828983535659</v>
      </c>
      <c r="U10" s="501">
        <f>IF('Intensidad y Ángulo incli.'!$O$20=1,('Intensidad y Ángulo incli.'!F26*'Dimensionado PV'!$C$22)/1000,('Intensidad y Ángulo incli.'!E26*'Dimensionado PV'!$C$22)/1000)</f>
        <v>92.746151092015765</v>
      </c>
      <c r="V10" s="501">
        <f t="shared" ref="V10:V20" si="0">T10-U10</f>
        <v>9.1121387433408216</v>
      </c>
      <c r="W10" s="501"/>
      <c r="X10" s="501">
        <f>'Intensidad y Ángulo incli.'!J26</f>
        <v>4.4599573453200128</v>
      </c>
      <c r="Y10" s="500" t="s">
        <v>17</v>
      </c>
      <c r="Z10" s="501">
        <f>T10/('Dimensionado PV'!$L$19/1000)</f>
        <v>3.4787667293496098</v>
      </c>
      <c r="AA10" s="498"/>
      <c r="AB10" s="498"/>
    </row>
    <row r="11" spans="1:28" ht="20.100000000000001" customHeight="1">
      <c r="A11" s="272"/>
      <c r="B11" s="271"/>
      <c r="C11" s="233"/>
      <c r="K11" s="3"/>
      <c r="L11" s="3"/>
      <c r="M11" s="238"/>
      <c r="N11" s="233"/>
      <c r="O11" s="272"/>
      <c r="P11" s="233"/>
      <c r="Q11" s="233"/>
      <c r="R11" s="233"/>
      <c r="S11" s="500" t="s">
        <v>18</v>
      </c>
      <c r="T11" s="501">
        <f>(('Intensidad y Ángulo incli.'!J27*'Dimensionado PV'!$G$19*'Dimensionado PV'!$E$22)/1000)*'Dimensionado PV'!$C$22</f>
        <v>133.20039679535122</v>
      </c>
      <c r="U11" s="501">
        <f>IF('Intensidad y Ángulo incli.'!$O$20=1,('Intensidad y Ángulo incli.'!F27*'Dimensionado PV'!$C$22)/1000,('Intensidad y Ángulo incli.'!E27*'Dimensionado PV'!$C$22)/1000)</f>
        <v>92.746151092015765</v>
      </c>
      <c r="V11" s="501">
        <f t="shared" si="0"/>
        <v>40.454245703335459</v>
      </c>
      <c r="W11" s="501"/>
      <c r="X11" s="501">
        <f>'Intensidad y Ángulo incli.'!J27</f>
        <v>5.8322998456700654</v>
      </c>
      <c r="Y11" s="500" t="s">
        <v>18</v>
      </c>
      <c r="Z11" s="501">
        <f>T11/('Dimensionado PV'!$L$19/1000)</f>
        <v>4.549193879622651</v>
      </c>
      <c r="AA11" s="498"/>
      <c r="AB11" s="498"/>
    </row>
    <row r="12" spans="1:28" ht="20.100000000000001" customHeight="1">
      <c r="A12" s="272"/>
      <c r="B12" s="271"/>
      <c r="C12" s="233"/>
      <c r="K12" s="3"/>
      <c r="L12" s="3"/>
      <c r="M12" s="238"/>
      <c r="N12" s="233"/>
      <c r="O12" s="272"/>
      <c r="P12" s="233"/>
      <c r="Q12" s="233"/>
      <c r="R12" s="233"/>
      <c r="S12" s="500" t="s">
        <v>19</v>
      </c>
      <c r="T12" s="501">
        <f>(('Intensidad y Ángulo incli.'!J28*'Dimensionado PV'!$G$19*'Dimensionado PV'!$E$22)/1000)*'Dimensionado PV'!$C$22</f>
        <v>130.04843127064782</v>
      </c>
      <c r="U12" s="501">
        <f>IF('Intensidad y Ángulo incli.'!$O$20=1,('Intensidad y Ángulo incli.'!F28*'Dimensionado PV'!$C$22)/1000,('Intensidad y Ángulo incli.'!E28*'Dimensionado PV'!$C$22)/1000)</f>
        <v>92.746151092015765</v>
      </c>
      <c r="V12" s="501">
        <f t="shared" si="0"/>
        <v>37.30228017863206</v>
      </c>
      <c r="W12" s="501"/>
      <c r="X12" s="501">
        <f>'Intensidad y Ángulo incli.'!J28</f>
        <v>5.6942881844020521</v>
      </c>
      <c r="Y12" s="500" t="s">
        <v>19</v>
      </c>
      <c r="Z12" s="501">
        <f>T12/('Dimensionado PV'!$L$19/1000)</f>
        <v>4.4415447838336002</v>
      </c>
      <c r="AA12" s="498"/>
      <c r="AB12" s="498"/>
    </row>
    <row r="13" spans="1:28" ht="20.100000000000001" customHeight="1">
      <c r="A13" s="272"/>
      <c r="B13" s="271"/>
      <c r="C13" s="233"/>
      <c r="K13" s="3"/>
      <c r="L13" s="3"/>
      <c r="M13" s="238"/>
      <c r="N13" s="233"/>
      <c r="O13" s="272"/>
      <c r="P13" s="233"/>
      <c r="Q13" s="233"/>
      <c r="R13" s="233"/>
      <c r="S13" s="500" t="s">
        <v>20</v>
      </c>
      <c r="T13" s="501">
        <f>(('Intensidad y Ángulo incli.'!J29*'Dimensionado PV'!$G$19*'Dimensionado PV'!$E$22)/1000)*'Dimensionado PV'!$C$22</f>
        <v>146.66239402741388</v>
      </c>
      <c r="U13" s="501">
        <f>IF('Intensidad y Ángulo incli.'!$O$20=1,('Intensidad y Ángulo incli.'!F29*'Dimensionado PV'!$C$22)/1000,('Intensidad y Ángulo incli.'!E29*'Dimensionado PV'!$C$22)/1000)</f>
        <v>92.746151092015765</v>
      </c>
      <c r="V13" s="501">
        <f t="shared" si="0"/>
        <v>53.916242935398117</v>
      </c>
      <c r="W13" s="501"/>
      <c r="X13" s="501">
        <f>'Intensidad y Ángulo incli.'!J29</f>
        <v>6.4217455700668129</v>
      </c>
      <c r="Y13" s="500" t="s">
        <v>20</v>
      </c>
      <c r="Z13" s="501">
        <f>T13/('Dimensionado PV'!$L$19/1000)</f>
        <v>5.008961544652113</v>
      </c>
      <c r="AA13" s="498"/>
      <c r="AB13" s="498"/>
    </row>
    <row r="14" spans="1:28" ht="20.100000000000001" customHeight="1">
      <c r="A14" s="272"/>
      <c r="B14" s="271"/>
      <c r="C14" s="233"/>
      <c r="K14" s="3"/>
      <c r="L14" s="3"/>
      <c r="M14" s="238"/>
      <c r="N14" s="233"/>
      <c r="O14" s="272"/>
      <c r="P14" s="233"/>
      <c r="Q14" s="233"/>
      <c r="R14" s="233"/>
      <c r="S14" s="500" t="s">
        <v>21</v>
      </c>
      <c r="T14" s="501">
        <f>(('Intensidad y Ángulo incli.'!J30*'Dimensionado PV'!$G$19*'Dimensionado PV'!$E$22)/1000)*'Dimensionado PV'!$C$22</f>
        <v>152.83317844843518</v>
      </c>
      <c r="U14" s="501">
        <f>IF('Intensidad y Ángulo incli.'!$O$20=1,('Intensidad y Ángulo incli.'!F30*'Dimensionado PV'!$C$22)/1000,('Intensidad y Ángulo incli.'!E30*'Dimensionado PV'!$C$22)/1000)</f>
        <v>92.746151092015765</v>
      </c>
      <c r="V14" s="501">
        <f t="shared" si="0"/>
        <v>60.087027356419412</v>
      </c>
      <c r="W14" s="501"/>
      <c r="X14" s="501">
        <f>'Intensidad y Ángulo incli.'!J30</f>
        <v>6.6919389470556254</v>
      </c>
      <c r="Y14" s="500" t="s">
        <v>21</v>
      </c>
      <c r="Z14" s="501">
        <f>T14/('Dimensionado PV'!$L$19/1000)</f>
        <v>5.2197123787033872</v>
      </c>
      <c r="AA14" s="498"/>
      <c r="AB14" s="498"/>
    </row>
    <row r="15" spans="1:28" ht="20.100000000000001" customHeight="1">
      <c r="A15" s="272"/>
      <c r="B15" s="271"/>
      <c r="C15" s="233"/>
      <c r="K15" s="3"/>
      <c r="L15" s="3"/>
      <c r="M15" s="238"/>
      <c r="N15" s="233"/>
      <c r="O15" s="272"/>
      <c r="P15" s="233"/>
      <c r="Q15" s="233"/>
      <c r="R15" s="233"/>
      <c r="S15" s="500" t="s">
        <v>22</v>
      </c>
      <c r="T15" s="501">
        <f>(('Intensidad y Ángulo incli.'!J31*'Dimensionado PV'!$G$19*'Dimensionado PV'!$E$22)/1000)*'Dimensionado PV'!$C$22</f>
        <v>163.28742371084866</v>
      </c>
      <c r="U15" s="501">
        <f>IF('Intensidad y Ángulo incli.'!$O$20=1,('Intensidad y Ángulo incli.'!F31*'Dimensionado PV'!$C$22)/1000,('Intensidad y Ángulo incli.'!E31*'Dimensionado PV'!$C$22)/1000)</f>
        <v>92.746151092015765</v>
      </c>
      <c r="V15" s="501">
        <f t="shared" si="0"/>
        <v>70.541272618832892</v>
      </c>
      <c r="W15" s="501"/>
      <c r="X15" s="501">
        <f>'Intensidad y Ángulo incli.'!J31</f>
        <v>7.1496875311251502</v>
      </c>
      <c r="Y15" s="500" t="s">
        <v>22</v>
      </c>
      <c r="Z15" s="501">
        <f>T15/('Dimensionado PV'!$L$19/1000)</f>
        <v>5.576756274277618</v>
      </c>
      <c r="AA15" s="498"/>
      <c r="AB15" s="498"/>
    </row>
    <row r="16" spans="1:28" ht="20.100000000000001" customHeight="1">
      <c r="A16" s="272"/>
      <c r="B16" s="271"/>
      <c r="C16" s="233"/>
      <c r="K16" s="3"/>
      <c r="L16" s="3"/>
      <c r="M16" s="238"/>
      <c r="N16" s="233"/>
      <c r="O16" s="272"/>
      <c r="P16" s="233"/>
      <c r="Q16" s="233"/>
      <c r="R16" s="233"/>
      <c r="S16" s="500" t="s">
        <v>23</v>
      </c>
      <c r="T16" s="501">
        <f>(('Intensidad y Ángulo incli.'!J32*'Dimensionado PV'!$G$19*'Dimensionado PV'!$E$22)/1000)*'Dimensionado PV'!$C$22</f>
        <v>152.20109707889563</v>
      </c>
      <c r="U16" s="501">
        <f>IF('Intensidad y Ángulo incli.'!$O$20=1,('Intensidad y Ángulo incli.'!F32*'Dimensionado PV'!$C$22)/1000,('Intensidad y Ángulo incli.'!E32*'Dimensionado PV'!$C$22)/1000)</f>
        <v>92.746151092015765</v>
      </c>
      <c r="V16" s="501">
        <f t="shared" si="0"/>
        <v>59.454945986879864</v>
      </c>
      <c r="W16" s="501"/>
      <c r="X16" s="501">
        <f>'Intensidad y Ángulo incli.'!J32</f>
        <v>6.6642626926096238</v>
      </c>
      <c r="Y16" s="500" t="s">
        <v>23</v>
      </c>
      <c r="Z16" s="501">
        <f>T16/('Dimensionado PV'!$L$19/1000)</f>
        <v>5.1981249002355066</v>
      </c>
      <c r="AA16" s="498"/>
      <c r="AB16" s="498"/>
    </row>
    <row r="17" spans="1:28" ht="20.100000000000001" customHeight="1">
      <c r="A17" s="272"/>
      <c r="B17" s="271"/>
      <c r="C17" s="233"/>
      <c r="K17" s="3"/>
      <c r="L17" s="3"/>
      <c r="M17" s="238"/>
      <c r="N17" s="233"/>
      <c r="O17" s="272"/>
      <c r="P17" s="233"/>
      <c r="Q17" s="233"/>
      <c r="R17" s="233"/>
      <c r="S17" s="500" t="s">
        <v>24</v>
      </c>
      <c r="T17" s="501">
        <f>(('Intensidad y Ángulo incli.'!J33*'Dimensionado PV'!$G$19*'Dimensionado PV'!$E$22)/1000)*'Dimensionado PV'!$C$22</f>
        <v>142.4802699790892</v>
      </c>
      <c r="U17" s="501">
        <f>IF('Intensidad y Ángulo incli.'!$O$20=1,('Intensidad y Ángulo incli.'!F33*'Dimensionado PV'!$C$22)/1000,('Intensidad y Ángulo incli.'!E33*'Dimensionado PV'!$C$22)/1000)</f>
        <v>92.746151092015765</v>
      </c>
      <c r="V17" s="501">
        <f t="shared" si="0"/>
        <v>49.734118887073436</v>
      </c>
      <c r="W17" s="501"/>
      <c r="X17" s="501">
        <f>'Intensidad y Ángulo incli.'!J33</f>
        <v>6.2386274861237752</v>
      </c>
      <c r="Y17" s="500" t="s">
        <v>24</v>
      </c>
      <c r="Z17" s="501">
        <f>T17/('Dimensionado PV'!$L$19/1000)</f>
        <v>4.8661294391765439</v>
      </c>
      <c r="AA17" s="498"/>
      <c r="AB17" s="498"/>
    </row>
    <row r="18" spans="1:28" ht="20.100000000000001" customHeight="1">
      <c r="A18" s="272"/>
      <c r="B18" s="271"/>
      <c r="C18" s="233"/>
      <c r="K18" s="3"/>
      <c r="L18" s="3"/>
      <c r="M18" s="238"/>
      <c r="N18" s="233"/>
      <c r="O18" s="272"/>
      <c r="P18" s="233"/>
      <c r="Q18" s="233"/>
      <c r="R18" s="233"/>
      <c r="S18" s="500" t="s">
        <v>25</v>
      </c>
      <c r="T18" s="501">
        <f>(('Intensidad y Ángulo incli.'!J34*'Dimensionado PV'!$G$19*'Dimensionado PV'!$E$22)/1000)*'Dimensionado PV'!$C$22</f>
        <v>106.00582024392364</v>
      </c>
      <c r="U18" s="501">
        <f>IF('Intensidad y Ángulo incli.'!$O$20=1,('Intensidad y Ángulo incli.'!F34*'Dimensionado PV'!$C$22)/1000,('Intensidad y Ángulo incli.'!E34*'Dimensionado PV'!$C$22)/1000)</f>
        <v>92.746151092015765</v>
      </c>
      <c r="V18" s="501">
        <f t="shared" si="0"/>
        <v>13.259669151907872</v>
      </c>
      <c r="W18" s="501"/>
      <c r="X18" s="501">
        <f>'Intensidad y Ángulo incli.'!J34</f>
        <v>4.6415607154583345</v>
      </c>
      <c r="Y18" s="500" t="s">
        <v>25</v>
      </c>
      <c r="Z18" s="501">
        <f>T18/('Dimensionado PV'!$L$19/1000)</f>
        <v>3.6204173580575012</v>
      </c>
      <c r="AA18" s="498"/>
      <c r="AB18" s="498"/>
    </row>
    <row r="19" spans="1:28" ht="20.100000000000001" customHeight="1">
      <c r="A19" s="272"/>
      <c r="B19" s="271"/>
      <c r="C19" s="233"/>
      <c r="K19" s="3"/>
      <c r="L19" s="3"/>
      <c r="M19" s="238"/>
      <c r="N19" s="233"/>
      <c r="O19" s="272"/>
      <c r="P19" s="233"/>
      <c r="Q19" s="233"/>
      <c r="R19" s="233"/>
      <c r="S19" s="500" t="s">
        <v>26</v>
      </c>
      <c r="T19" s="501">
        <f>(('Intensidad y Ángulo incli.'!J35*'Dimensionado PV'!$G$19*'Dimensionado PV'!$E$22)/1000)*'Dimensionado PV'!$C$22</f>
        <v>86.288984532483937</v>
      </c>
      <c r="U19" s="501">
        <f>IF('Intensidad y Ángulo incli.'!$O$20=1,('Intensidad y Ángulo incli.'!F35*'Dimensionado PV'!$C$22)/1000,('Intensidad y Ángulo incli.'!E35*'Dimensionado PV'!$C$22)/1000)</f>
        <v>92.746151092015765</v>
      </c>
      <c r="V19" s="501">
        <f t="shared" si="0"/>
        <v>-6.4571665595318279</v>
      </c>
      <c r="W19" s="501"/>
      <c r="X19" s="501">
        <f>'Intensidad y Ángulo incli.'!J35</f>
        <v>3.778241231105679</v>
      </c>
      <c r="Y19" s="500" t="s">
        <v>26</v>
      </c>
      <c r="Z19" s="501">
        <f>T19/('Dimensionado PV'!$L$19/1000)</f>
        <v>2.9470281602624295</v>
      </c>
      <c r="AA19" s="498"/>
      <c r="AB19" s="498"/>
    </row>
    <row r="20" spans="1:28" ht="20.100000000000001" customHeight="1">
      <c r="A20" s="272"/>
      <c r="B20" s="271"/>
      <c r="C20" s="233"/>
      <c r="K20" s="3"/>
      <c r="L20" s="3"/>
      <c r="M20" s="238"/>
      <c r="N20" s="233"/>
      <c r="O20" s="272"/>
      <c r="P20" s="233"/>
      <c r="Q20" s="233"/>
      <c r="R20" s="233"/>
      <c r="S20" s="500" t="s">
        <v>27</v>
      </c>
      <c r="T20" s="501">
        <f>(('Intensidad y Ángulo incli.'!J36*'Dimensionado PV'!$G$19*'Dimensionado PV'!$E$22)/1000)*'Dimensionado PV'!$C$22</f>
        <v>82.308334616802696</v>
      </c>
      <c r="U20" s="501">
        <f>IF('Intensidad y Ángulo incli.'!$O$20=1,('Intensidad y Ángulo incli.'!F36*'Dimensionado PV'!$C$22)/1000,('Intensidad y Ángulo incli.'!E36*'Dimensionado PV'!$C$22)/1000)</f>
        <v>92.746151092015765</v>
      </c>
      <c r="V20" s="501">
        <f t="shared" si="0"/>
        <v>-10.437816475213069</v>
      </c>
      <c r="W20" s="501"/>
      <c r="X20" s="501">
        <f>'Intensidad y Ángulo incli.'!J36</f>
        <v>3.6039448742820293</v>
      </c>
      <c r="Y20" s="500" t="s">
        <v>27</v>
      </c>
      <c r="Z20" s="501">
        <f>T20/('Dimensionado PV'!$L$19/1000)</f>
        <v>2.8110770019399829</v>
      </c>
      <c r="AA20" s="498"/>
      <c r="AB20" s="498"/>
    </row>
    <row r="21" spans="1:28" ht="21" customHeight="1">
      <c r="A21" s="272"/>
      <c r="B21" s="271"/>
      <c r="C21" s="233"/>
      <c r="K21" s="3"/>
      <c r="L21" s="3"/>
      <c r="M21" s="238"/>
      <c r="N21" s="233"/>
      <c r="O21" s="272"/>
      <c r="P21" s="233"/>
      <c r="Q21" s="233"/>
      <c r="R21" s="233"/>
      <c r="S21" s="503" t="s">
        <v>464</v>
      </c>
      <c r="T21" s="504">
        <f>AVERAGE(T9:T20)</f>
        <v>124.24244284434307</v>
      </c>
      <c r="U21" s="504"/>
      <c r="V21" s="504"/>
      <c r="W21" s="504"/>
      <c r="X21" s="504">
        <f>AVERAGE(X9:X20)</f>
        <v>5.4400677299785931</v>
      </c>
      <c r="Y21" s="503" t="s">
        <v>464</v>
      </c>
      <c r="Z21" s="504">
        <f>AVERAGE(Z9:Z20)</f>
        <v>4.2432528293833016</v>
      </c>
      <c r="AA21" s="498"/>
      <c r="AB21" s="498"/>
    </row>
    <row r="22" spans="1:28">
      <c r="A22" s="272"/>
      <c r="B22" s="271"/>
      <c r="C22" s="238"/>
      <c r="D22" s="3"/>
      <c r="E22" s="3"/>
      <c r="F22" s="3"/>
      <c r="G22" s="3"/>
      <c r="H22" s="3"/>
      <c r="I22" s="3"/>
      <c r="J22" s="3"/>
      <c r="K22" s="3"/>
      <c r="L22" s="3"/>
      <c r="M22" s="238"/>
      <c r="N22" s="233"/>
      <c r="O22" s="272"/>
      <c r="P22" s="233"/>
      <c r="Q22" s="233"/>
      <c r="R22" s="233"/>
    </row>
    <row r="23" spans="1:28">
      <c r="A23" s="272"/>
      <c r="B23" s="271"/>
      <c r="C23" s="238"/>
      <c r="D23" s="3"/>
      <c r="E23" s="3"/>
      <c r="F23" s="3"/>
      <c r="G23" s="3"/>
      <c r="H23" s="3"/>
      <c r="I23" s="3"/>
      <c r="J23" s="3"/>
      <c r="K23" s="3"/>
      <c r="L23" s="3"/>
      <c r="M23" s="238"/>
      <c r="N23" s="233"/>
      <c r="O23" s="272"/>
      <c r="P23" s="233"/>
      <c r="Q23" s="233"/>
      <c r="R23" s="233"/>
    </row>
    <row r="24" spans="1:28">
      <c r="A24" s="272"/>
      <c r="B24" s="271"/>
      <c r="C24" s="238"/>
      <c r="D24" s="3"/>
      <c r="E24" s="3"/>
      <c r="F24" s="3"/>
      <c r="G24" s="3"/>
      <c r="H24" s="3"/>
      <c r="I24" s="3"/>
      <c r="J24" s="3"/>
      <c r="K24" s="3"/>
      <c r="L24" s="3"/>
      <c r="M24" s="238"/>
      <c r="N24" s="233"/>
      <c r="O24" s="272"/>
      <c r="P24" s="233"/>
      <c r="Q24" s="233"/>
      <c r="R24" s="233"/>
    </row>
    <row r="25" spans="1:28">
      <c r="A25" s="272"/>
      <c r="B25" s="271"/>
      <c r="C25" s="238"/>
      <c r="D25" s="3"/>
      <c r="E25" s="3"/>
      <c r="F25" s="3"/>
      <c r="G25" s="3"/>
      <c r="H25" s="3"/>
      <c r="I25" s="3"/>
      <c r="J25" s="3"/>
      <c r="K25" s="3"/>
      <c r="L25" s="3"/>
      <c r="M25" s="238"/>
      <c r="N25" s="233"/>
      <c r="O25" s="272"/>
      <c r="P25" s="233"/>
      <c r="Q25" s="233"/>
      <c r="R25" s="233"/>
    </row>
    <row r="26" spans="1:28">
      <c r="A26" s="272"/>
      <c r="B26" s="271"/>
      <c r="C26" s="238"/>
      <c r="D26" s="3"/>
      <c r="E26" s="3"/>
      <c r="F26" s="3"/>
      <c r="G26" s="3"/>
      <c r="H26" s="3"/>
      <c r="I26" s="3"/>
      <c r="J26" s="3"/>
      <c r="K26" s="3"/>
      <c r="L26" s="3"/>
      <c r="M26" s="238"/>
      <c r="N26" s="233"/>
      <c r="O26" s="272"/>
      <c r="P26" s="233"/>
      <c r="Q26" s="233"/>
      <c r="R26" s="233"/>
    </row>
    <row r="27" spans="1:28">
      <c r="A27" s="272"/>
      <c r="B27" s="271"/>
      <c r="C27" s="238"/>
      <c r="D27" s="238"/>
      <c r="E27" s="238"/>
      <c r="F27" s="238"/>
      <c r="G27" s="238"/>
      <c r="H27" s="238"/>
      <c r="I27" s="238"/>
      <c r="J27" s="238"/>
      <c r="K27" s="238"/>
      <c r="L27" s="238"/>
      <c r="M27" s="238"/>
      <c r="N27" s="233"/>
      <c r="O27" s="272"/>
      <c r="P27" s="233"/>
      <c r="Q27" s="233"/>
      <c r="R27" s="233"/>
    </row>
    <row r="28" spans="1:28">
      <c r="A28" s="272"/>
      <c r="B28" s="238"/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3"/>
      <c r="O28" s="272"/>
      <c r="P28" s="233"/>
      <c r="Q28" s="233"/>
      <c r="R28" s="233"/>
    </row>
    <row r="29" spans="1:28">
      <c r="A29" s="272"/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3"/>
      <c r="O29" s="272"/>
      <c r="P29" s="233"/>
      <c r="Q29" s="233"/>
      <c r="R29" s="233"/>
    </row>
    <row r="30" spans="1:28">
      <c r="A30" s="272"/>
      <c r="B30" s="233"/>
      <c r="C30" s="233"/>
      <c r="D30" s="233"/>
      <c r="E30" s="233"/>
      <c r="F30" s="233"/>
      <c r="G30" s="233"/>
      <c r="H30" s="233"/>
      <c r="I30" s="233"/>
      <c r="J30" s="233"/>
      <c r="K30" s="233"/>
      <c r="L30" s="233"/>
      <c r="M30" s="233"/>
      <c r="N30" s="233"/>
      <c r="O30" s="272"/>
      <c r="P30" s="233"/>
      <c r="Q30" s="233"/>
      <c r="R30" s="233"/>
    </row>
    <row r="31" spans="1:28">
      <c r="A31" s="272"/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72"/>
      <c r="P31" s="233"/>
      <c r="Q31" s="233"/>
      <c r="R31" s="233"/>
    </row>
    <row r="32" spans="1:28" ht="13.5" thickBot="1">
      <c r="A32" s="272"/>
      <c r="B32" s="285"/>
      <c r="C32" s="288"/>
      <c r="D32" s="288"/>
      <c r="E32" s="288"/>
      <c r="F32" s="288"/>
      <c r="G32" s="288"/>
      <c r="H32" s="288"/>
      <c r="I32" s="288"/>
      <c r="J32" s="288"/>
      <c r="K32" s="288"/>
      <c r="L32" s="288"/>
      <c r="M32" s="288"/>
      <c r="N32" s="288"/>
      <c r="O32" s="289"/>
      <c r="P32" s="233"/>
      <c r="Q32" s="233"/>
      <c r="R32" s="233"/>
    </row>
    <row r="33" spans="1:18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</row>
    <row r="34" spans="1:18">
      <c r="A34" s="233"/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</row>
  </sheetData>
  <protectedRanges>
    <protectedRange sqref="T8:AB8 T9:X20" name="Información Módulo_1"/>
  </protectedRanges>
  <mergeCells count="7">
    <mergeCell ref="E2:G2"/>
    <mergeCell ref="E4:G4"/>
    <mergeCell ref="S8:T8"/>
    <mergeCell ref="Y8:Z8"/>
    <mergeCell ref="AA8:AB8"/>
    <mergeCell ref="J2:L2"/>
    <mergeCell ref="J4:L4"/>
  </mergeCells>
  <phoneticPr fontId="12" type="noConversion"/>
  <printOptions horizontalCentered="1" verticalCentered="1"/>
  <pageMargins left="0" right="0" top="0" bottom="0" header="0" footer="0"/>
  <pageSetup paperSize="9" scale="85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7">
    <pageSetUpPr autoPageBreaks="0" fitToPage="1"/>
  </sheetPr>
  <dimension ref="A1:T31"/>
  <sheetViews>
    <sheetView showGridLines="0" zoomScale="80" zoomScaleNormal="80" workbookViewId="0">
      <selection activeCell="F26" sqref="F26"/>
    </sheetView>
  </sheetViews>
  <sheetFormatPr baseColWidth="10" defaultRowHeight="12.75"/>
  <cols>
    <col min="1" max="1" width="6.7109375" customWidth="1"/>
    <col min="2" max="2" width="8.7109375" customWidth="1"/>
    <col min="4" max="4" width="15.28515625" bestFit="1" customWidth="1"/>
    <col min="5" max="5" width="15" bestFit="1" customWidth="1"/>
    <col min="6" max="6" width="17.140625" bestFit="1" customWidth="1"/>
    <col min="7" max="7" width="15" customWidth="1"/>
    <col min="9" max="9" width="13.85546875" bestFit="1" customWidth="1"/>
  </cols>
  <sheetData>
    <row r="1" spans="1:20">
      <c r="A1" s="272"/>
      <c r="B1" s="273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5"/>
      <c r="N1" s="269"/>
      <c r="O1" s="233"/>
      <c r="P1" s="233"/>
      <c r="Q1" s="233"/>
      <c r="R1" s="233"/>
      <c r="S1" s="233"/>
    </row>
    <row r="2" spans="1:20">
      <c r="A2" s="272"/>
      <c r="B2" s="271"/>
      <c r="C2" s="238" t="s">
        <v>49</v>
      </c>
      <c r="D2" s="238"/>
      <c r="E2" s="603" t="str">
        <f>'Cálculo de consumo'!E2</f>
        <v>Prueba</v>
      </c>
      <c r="F2" s="603"/>
      <c r="G2" s="603"/>
      <c r="H2" s="324" t="s">
        <v>50</v>
      </c>
      <c r="I2" s="238"/>
      <c r="J2" s="603" t="str">
        <f>'Cálculo de consumo'!J2</f>
        <v>Prueba</v>
      </c>
      <c r="K2" s="603"/>
      <c r="L2" s="603"/>
      <c r="M2" s="328"/>
      <c r="N2" s="271"/>
      <c r="O2" s="233"/>
      <c r="P2" s="233"/>
      <c r="Q2" s="233"/>
      <c r="R2" s="233"/>
      <c r="S2" s="233"/>
    </row>
    <row r="3" spans="1:20">
      <c r="A3" s="272"/>
      <c r="B3" s="271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72"/>
      <c r="N3" s="238"/>
      <c r="O3" s="233"/>
      <c r="P3" s="233"/>
      <c r="Q3" s="233"/>
      <c r="R3" s="233"/>
      <c r="S3" s="233"/>
    </row>
    <row r="4" spans="1:20">
      <c r="A4" s="272"/>
      <c r="B4" s="271"/>
      <c r="C4" s="238" t="s">
        <v>51</v>
      </c>
      <c r="D4" s="238"/>
      <c r="E4" s="603" t="str">
        <f>'Cálculo de consumo'!E4</f>
        <v>Prueba</v>
      </c>
      <c r="F4" s="603"/>
      <c r="G4" s="603"/>
      <c r="H4" s="324" t="s">
        <v>52</v>
      </c>
      <c r="I4" s="238"/>
      <c r="J4" s="605" t="str">
        <f>'Cálculo de consumo'!J4</f>
        <v>Prueba</v>
      </c>
      <c r="K4" s="605"/>
      <c r="L4" s="605"/>
      <c r="M4" s="328"/>
      <c r="N4" s="271"/>
      <c r="O4" s="233"/>
      <c r="P4" s="233"/>
      <c r="Q4" s="233"/>
      <c r="R4" s="233"/>
      <c r="S4" s="233"/>
    </row>
    <row r="5" spans="1:20" ht="20.25">
      <c r="A5" s="272"/>
      <c r="B5" s="271"/>
      <c r="C5" s="322" t="s">
        <v>147</v>
      </c>
      <c r="D5" s="238"/>
      <c r="E5" s="238"/>
      <c r="F5" s="323"/>
      <c r="G5" s="323"/>
      <c r="H5" s="323"/>
      <c r="I5" s="323"/>
      <c r="J5" s="238"/>
      <c r="K5" s="238"/>
      <c r="L5" s="238"/>
      <c r="M5" s="272"/>
      <c r="N5" s="233"/>
      <c r="O5" s="233"/>
      <c r="P5" s="233"/>
      <c r="Q5" s="233"/>
      <c r="R5" s="233"/>
      <c r="S5" s="233"/>
    </row>
    <row r="6" spans="1:20" ht="21" thickBot="1">
      <c r="A6" s="272"/>
      <c r="B6" s="271"/>
      <c r="C6" s="323"/>
      <c r="D6" s="238"/>
      <c r="E6" s="238"/>
      <c r="F6" s="323"/>
      <c r="G6" s="323"/>
      <c r="H6" s="323"/>
      <c r="I6" s="323"/>
      <c r="J6" s="238"/>
      <c r="K6" s="238"/>
      <c r="L6" s="238"/>
      <c r="M6" s="272"/>
      <c r="N6" s="233"/>
      <c r="O6" s="233"/>
      <c r="P6" s="233"/>
      <c r="Q6" s="233"/>
      <c r="R6" s="233"/>
      <c r="S6" s="233"/>
    </row>
    <row r="7" spans="1:20" ht="21" thickBot="1">
      <c r="A7" s="272"/>
      <c r="B7" s="271"/>
      <c r="C7" s="323"/>
      <c r="D7" s="598" t="s">
        <v>467</v>
      </c>
      <c r="E7" s="599"/>
      <c r="F7" s="599"/>
      <c r="G7" s="600"/>
      <c r="H7" s="323"/>
      <c r="I7" s="555" t="s">
        <v>441</v>
      </c>
      <c r="J7" s="555"/>
      <c r="K7" s="555"/>
      <c r="L7" s="555"/>
      <c r="M7" s="272"/>
      <c r="N7" s="233"/>
      <c r="O7" s="233"/>
      <c r="P7" s="233"/>
      <c r="Q7" s="233"/>
      <c r="R7" s="233"/>
      <c r="S7" s="233"/>
    </row>
    <row r="8" spans="1:20" ht="20.100000000000001" customHeight="1">
      <c r="A8" s="272"/>
      <c r="B8" s="271"/>
      <c r="C8" s="238"/>
      <c r="D8" s="302" t="s">
        <v>43</v>
      </c>
      <c r="E8" s="611" t="s">
        <v>517</v>
      </c>
      <c r="F8" s="612"/>
      <c r="G8" s="612"/>
      <c r="H8" s="238"/>
      <c r="I8" s="314" t="str">
        <f>IF(E10&lt;&gt;G19,"TENSIÓN ELEGIDA DE REGULADOR ERRÓNEA","")</f>
        <v/>
      </c>
      <c r="J8" s="314"/>
      <c r="K8" s="314"/>
      <c r="L8" s="315"/>
      <c r="M8" s="272"/>
      <c r="N8" s="233"/>
      <c r="O8" s="233"/>
      <c r="P8" s="233"/>
      <c r="Q8" s="233"/>
      <c r="R8" s="233"/>
      <c r="S8" s="233"/>
    </row>
    <row r="9" spans="1:20" ht="20.100000000000001" customHeight="1">
      <c r="A9" s="272"/>
      <c r="B9" s="271"/>
      <c r="C9" s="238"/>
      <c r="D9" s="302" t="s">
        <v>44</v>
      </c>
      <c r="E9" s="613" t="s">
        <v>518</v>
      </c>
      <c r="F9" s="614"/>
      <c r="G9" s="614"/>
      <c r="H9" s="238"/>
      <c r="I9" s="314" t="str">
        <f>IF(G25&gt;1,CONCATENATE("SE RECOMIENDA SUBDIVIDIR EL GENERADOR FOTOVOLTAICO EN    ",T9,"     SUBCAMPOS"),"")</f>
        <v/>
      </c>
      <c r="J9" s="314"/>
      <c r="K9" s="314"/>
      <c r="L9" s="315"/>
      <c r="M9" s="272"/>
      <c r="N9" s="233"/>
      <c r="O9" s="233"/>
      <c r="P9" s="233"/>
      <c r="Q9" s="233"/>
      <c r="R9" s="233"/>
      <c r="S9" s="233"/>
      <c r="T9" s="339">
        <f>G25</f>
        <v>1</v>
      </c>
    </row>
    <row r="10" spans="1:20" ht="20.100000000000001" customHeight="1" thickBot="1">
      <c r="A10" s="272"/>
      <c r="B10" s="271"/>
      <c r="C10" s="238"/>
      <c r="D10" s="302" t="s">
        <v>218</v>
      </c>
      <c r="E10" s="615">
        <v>48</v>
      </c>
      <c r="F10" s="615"/>
      <c r="G10" s="615"/>
      <c r="H10" s="238"/>
      <c r="I10" s="314" t="str">
        <f>IF(G25&gt;1,CONCATENATE("DE    ",T10,"     PANELES EN PARALELO Y   ",T11,"    PANELES EN SERIE CADA SUBCAMPO"),"")</f>
        <v/>
      </c>
      <c r="J10" s="314"/>
      <c r="K10" s="314"/>
      <c r="L10" s="314"/>
      <c r="M10" s="272"/>
      <c r="N10" s="233"/>
      <c r="O10" s="233"/>
      <c r="P10" s="233"/>
      <c r="Q10" s="233"/>
      <c r="R10" s="233"/>
      <c r="S10" s="233"/>
      <c r="T10">
        <f>ROUNDUP('Dimensionado PV'!E22/T9,0)</f>
        <v>61</v>
      </c>
    </row>
    <row r="11" spans="1:20" ht="19.5" thickBot="1">
      <c r="A11" s="272"/>
      <c r="B11" s="271"/>
      <c r="C11" s="238"/>
      <c r="D11" s="598" t="s">
        <v>149</v>
      </c>
      <c r="E11" s="599"/>
      <c r="F11" s="599"/>
      <c r="G11" s="600"/>
      <c r="H11" s="238"/>
      <c r="I11" s="314" t="str">
        <f>IF(T13=0,"",CONCATENATE("PARA ELLO ES NECESARIO AUMENTAR EN    ",T13,"   PANEL/es MÁS CADA RAMA DE PARALELOS"))</f>
        <v/>
      </c>
      <c r="J11" s="314"/>
      <c r="K11" s="314"/>
      <c r="L11" s="314"/>
      <c r="M11" s="272"/>
      <c r="N11" s="233"/>
      <c r="O11" s="233"/>
      <c r="P11" s="233"/>
      <c r="Q11" s="233"/>
      <c r="R11" s="233"/>
      <c r="S11" s="233"/>
      <c r="T11" s="339">
        <f>'Dimensionado PV'!F22</f>
        <v>2</v>
      </c>
    </row>
    <row r="12" spans="1:20" ht="20.100000000000001" customHeight="1">
      <c r="A12" s="272"/>
      <c r="B12" s="271"/>
      <c r="C12" s="238"/>
      <c r="D12" s="616" t="s">
        <v>150</v>
      </c>
      <c r="E12" s="616"/>
      <c r="F12" s="616"/>
      <c r="G12" s="334" t="s">
        <v>232</v>
      </c>
      <c r="H12" s="238"/>
      <c r="I12" s="340" t="str">
        <f>IF(T13&gt;2,"EL REGULADOR SELECCIONADO NO ES APROPIADO PARA LA CONFIGURACIÓN SERIE PARALELO","")</f>
        <v/>
      </c>
      <c r="J12" s="314"/>
      <c r="K12" s="314"/>
      <c r="L12" s="314"/>
      <c r="M12" s="272"/>
      <c r="N12" s="233"/>
      <c r="O12" s="233"/>
      <c r="P12" s="233"/>
      <c r="Q12" s="233"/>
      <c r="R12" s="233"/>
      <c r="S12" s="233"/>
      <c r="T12">
        <f>T9*T10</f>
        <v>61</v>
      </c>
    </row>
    <row r="13" spans="1:20" ht="20.100000000000001" customHeight="1">
      <c r="A13" s="272"/>
      <c r="B13" s="271"/>
      <c r="C13" s="238"/>
      <c r="D13" s="609" t="s">
        <v>228</v>
      </c>
      <c r="E13" s="609"/>
      <c r="F13" s="610"/>
      <c r="G13" s="303" t="s">
        <v>232</v>
      </c>
      <c r="H13" s="238"/>
      <c r="I13" s="238"/>
      <c r="J13" s="329"/>
      <c r="K13" s="238"/>
      <c r="L13" s="238"/>
      <c r="M13" s="272"/>
      <c r="N13" s="233"/>
      <c r="O13" s="233"/>
      <c r="P13" s="233"/>
      <c r="Q13" s="233"/>
      <c r="R13" s="233"/>
      <c r="S13" s="233"/>
      <c r="T13" s="339">
        <f>T12-'Dimensionado PV'!E22</f>
        <v>0</v>
      </c>
    </row>
    <row r="14" spans="1:20" ht="20.100000000000001" customHeight="1">
      <c r="A14" s="272"/>
      <c r="B14" s="271"/>
      <c r="C14" s="238"/>
      <c r="D14" s="609" t="s">
        <v>229</v>
      </c>
      <c r="E14" s="609"/>
      <c r="F14" s="610"/>
      <c r="G14" s="303" t="s">
        <v>232</v>
      </c>
      <c r="H14" s="325"/>
      <c r="I14" s="238"/>
      <c r="J14" s="324"/>
      <c r="K14" s="238"/>
      <c r="L14" s="238"/>
      <c r="M14" s="272"/>
      <c r="N14" s="233"/>
      <c r="O14" s="233"/>
      <c r="P14" s="233"/>
      <c r="Q14" s="233"/>
      <c r="R14" s="233"/>
      <c r="S14" s="233"/>
    </row>
    <row r="15" spans="1:20" ht="20.100000000000001" customHeight="1">
      <c r="A15" s="272"/>
      <c r="B15" s="271"/>
      <c r="C15" s="238"/>
      <c r="D15" s="609" t="s">
        <v>230</v>
      </c>
      <c r="E15" s="609"/>
      <c r="F15" s="610"/>
      <c r="G15" s="303" t="s">
        <v>232</v>
      </c>
      <c r="H15" s="238"/>
      <c r="I15" s="238"/>
      <c r="J15" s="238"/>
      <c r="K15" s="238"/>
      <c r="L15" s="238"/>
      <c r="M15" s="272"/>
      <c r="N15" s="233"/>
      <c r="O15" s="233"/>
      <c r="P15" s="233"/>
      <c r="Q15" s="233"/>
      <c r="R15" s="233"/>
      <c r="S15" s="233"/>
    </row>
    <row r="16" spans="1:20" ht="20.100000000000001" customHeight="1">
      <c r="A16" s="272"/>
      <c r="B16" s="271"/>
      <c r="C16" s="238"/>
      <c r="D16" s="609" t="s">
        <v>151</v>
      </c>
      <c r="E16" s="609"/>
      <c r="F16" s="610"/>
      <c r="G16" s="303" t="s">
        <v>232</v>
      </c>
      <c r="H16" s="238"/>
      <c r="I16" s="238"/>
      <c r="J16" s="238"/>
      <c r="K16" s="238"/>
      <c r="L16" s="238"/>
      <c r="M16" s="272"/>
      <c r="N16" s="233"/>
      <c r="O16" s="233"/>
      <c r="P16" s="233"/>
      <c r="Q16" s="233"/>
      <c r="R16" s="233"/>
      <c r="S16" s="233"/>
    </row>
    <row r="17" spans="1:19" ht="20.100000000000001" customHeight="1">
      <c r="A17" s="272"/>
      <c r="B17" s="271"/>
      <c r="C17" s="238"/>
      <c r="D17" s="609" t="s">
        <v>227</v>
      </c>
      <c r="E17" s="609"/>
      <c r="F17" s="610"/>
      <c r="G17" s="303" t="s">
        <v>232</v>
      </c>
      <c r="H17" s="238"/>
      <c r="I17" s="238"/>
      <c r="J17" s="238"/>
      <c r="K17" s="238"/>
      <c r="L17" s="238"/>
      <c r="M17" s="272"/>
      <c r="N17" s="233"/>
      <c r="O17" s="233"/>
      <c r="P17" s="233"/>
      <c r="Q17" s="233"/>
      <c r="R17" s="233"/>
      <c r="S17" s="233"/>
    </row>
    <row r="18" spans="1:19" ht="19.5" thickBot="1">
      <c r="A18" s="272"/>
      <c r="B18" s="271"/>
      <c r="C18" s="238"/>
      <c r="D18" s="606" t="s">
        <v>501</v>
      </c>
      <c r="E18" s="607"/>
      <c r="F18" s="607"/>
      <c r="G18" s="608"/>
      <c r="H18" s="238"/>
      <c r="I18" s="238"/>
      <c r="J18" s="238"/>
      <c r="K18" s="238"/>
      <c r="L18" s="238"/>
      <c r="M18" s="272"/>
      <c r="N18" s="233"/>
      <c r="O18" s="233"/>
      <c r="P18" s="233"/>
      <c r="Q18" s="233"/>
      <c r="R18" s="233"/>
      <c r="S18" s="233"/>
    </row>
    <row r="19" spans="1:19" ht="20.100000000000001" customHeight="1">
      <c r="A19" s="272"/>
      <c r="B19" s="271"/>
      <c r="C19" s="238"/>
      <c r="D19" s="609" t="s">
        <v>468</v>
      </c>
      <c r="E19" s="609"/>
      <c r="F19" s="610"/>
      <c r="G19" s="327">
        <f>IF('Intensidad y Ángulo incli.'!$O$20=2,'Intensidad y Ángulo incli.'!$E$10,'Cálculo de consumo'!$F$34)</f>
        <v>48</v>
      </c>
      <c r="H19" s="238"/>
      <c r="I19" s="238"/>
      <c r="J19" s="238"/>
      <c r="K19" s="238"/>
      <c r="L19" s="238"/>
      <c r="M19" s="272"/>
      <c r="N19" s="233"/>
      <c r="O19" s="233"/>
      <c r="P19" s="233"/>
      <c r="Q19" s="233"/>
      <c r="R19" s="233"/>
      <c r="S19" s="233"/>
    </row>
    <row r="20" spans="1:19" ht="20.100000000000001" customHeight="1">
      <c r="A20" s="272"/>
      <c r="B20" s="271"/>
      <c r="C20" s="238"/>
      <c r="D20" s="609" t="s">
        <v>469</v>
      </c>
      <c r="E20" s="609"/>
      <c r="F20" s="610"/>
      <c r="G20" s="326">
        <f>E25</f>
        <v>651.93750000000011</v>
      </c>
      <c r="H20" s="318"/>
      <c r="I20" s="238"/>
      <c r="J20" s="238"/>
      <c r="K20" s="238"/>
      <c r="L20" s="238"/>
      <c r="M20" s="272"/>
      <c r="N20" s="233"/>
      <c r="O20" s="233"/>
      <c r="P20" s="233"/>
      <c r="Q20" s="233"/>
      <c r="R20" s="233"/>
      <c r="S20" s="233"/>
    </row>
    <row r="21" spans="1:19" ht="20.100000000000001" customHeight="1">
      <c r="A21" s="272"/>
      <c r="B21" s="271"/>
      <c r="C21" s="238"/>
      <c r="D21" s="609" t="s">
        <v>470</v>
      </c>
      <c r="E21" s="609"/>
      <c r="F21" s="610"/>
      <c r="G21" s="326">
        <f>IF('Intensidad y Ángulo incli.'!O20=2,'Intensidad y Ángulo incli.'!E13,SUM('Cálculo de consumo'!L21:L29))</f>
        <v>0</v>
      </c>
      <c r="H21" s="238"/>
      <c r="I21" s="238"/>
      <c r="J21" s="238"/>
      <c r="K21" s="238"/>
      <c r="L21" s="238"/>
      <c r="M21" s="272"/>
      <c r="N21" s="233"/>
      <c r="O21" s="233"/>
      <c r="P21" s="233"/>
      <c r="Q21" s="233"/>
      <c r="R21" s="233"/>
      <c r="S21" s="233"/>
    </row>
    <row r="22" spans="1:19">
      <c r="A22" s="272"/>
      <c r="B22" s="271"/>
      <c r="C22" s="238"/>
      <c r="D22" s="233"/>
      <c r="E22" s="233"/>
      <c r="F22" s="233"/>
      <c r="G22" s="233"/>
      <c r="H22" s="238"/>
      <c r="I22" s="238"/>
      <c r="J22" s="238"/>
      <c r="K22" s="238"/>
      <c r="L22" s="238"/>
      <c r="M22" s="272"/>
      <c r="N22" s="233"/>
      <c r="O22" s="233"/>
      <c r="P22" s="233"/>
      <c r="Q22" s="233"/>
      <c r="R22" s="233"/>
      <c r="S22" s="233"/>
    </row>
    <row r="23" spans="1:19" ht="13.5" thickBot="1">
      <c r="A23" s="272"/>
      <c r="B23" s="271"/>
      <c r="C23" s="238"/>
      <c r="D23" s="233"/>
      <c r="E23" s="233"/>
      <c r="F23" s="320"/>
      <c r="G23" s="233"/>
      <c r="H23" s="238"/>
      <c r="I23" s="238"/>
      <c r="J23" s="238"/>
      <c r="K23" s="238"/>
      <c r="L23" s="238"/>
      <c r="M23" s="272"/>
      <c r="N23" s="233"/>
      <c r="O23" s="233"/>
      <c r="P23" s="233"/>
      <c r="Q23" s="233"/>
      <c r="R23" s="233"/>
      <c r="S23" s="233"/>
    </row>
    <row r="24" spans="1:19" ht="39" thickBot="1">
      <c r="A24" s="272"/>
      <c r="B24" s="271"/>
      <c r="C24" s="238"/>
      <c r="D24" s="225" t="s">
        <v>146</v>
      </c>
      <c r="E24" s="226" t="s">
        <v>225</v>
      </c>
      <c r="F24" s="224" t="s">
        <v>226</v>
      </c>
      <c r="G24" s="229" t="s">
        <v>148</v>
      </c>
      <c r="H24" s="238"/>
      <c r="I24" s="238"/>
      <c r="J24" s="238"/>
      <c r="K24" s="238"/>
      <c r="L24" s="238"/>
      <c r="M24" s="272"/>
      <c r="N24" s="233"/>
      <c r="O24" s="233"/>
      <c r="P24" s="233"/>
      <c r="Q24" s="233"/>
      <c r="R24" s="233"/>
      <c r="S24" s="233"/>
    </row>
    <row r="25" spans="1:19" ht="20.100000000000001" customHeight="1">
      <c r="A25" s="272"/>
      <c r="B25" s="271"/>
      <c r="C25" s="238"/>
      <c r="D25" s="173">
        <f>'Dimensionado PV'!E22*'Dimensionado PV'!G15</f>
        <v>521.55000000000007</v>
      </c>
      <c r="E25" s="173">
        <f>D25*1.25</f>
        <v>651.93750000000011</v>
      </c>
      <c r="F25" s="220">
        <v>652</v>
      </c>
      <c r="G25" s="210">
        <f>ROUNDUP(IF(F25=0,0,E25/F25),0)</f>
        <v>1</v>
      </c>
      <c r="H25" s="238"/>
      <c r="I25" s="238"/>
      <c r="J25" s="238"/>
      <c r="K25" s="238"/>
      <c r="L25" s="238"/>
      <c r="M25" s="272"/>
      <c r="N25" s="233"/>
      <c r="O25" s="233"/>
      <c r="P25" s="233"/>
      <c r="Q25" s="233"/>
      <c r="R25" s="233"/>
      <c r="S25" s="233"/>
    </row>
    <row r="26" spans="1:19" ht="13.5" thickBot="1">
      <c r="A26" s="272"/>
      <c r="B26" s="285"/>
      <c r="C26" s="288"/>
      <c r="D26" s="288"/>
      <c r="E26" s="288"/>
      <c r="F26" s="288"/>
      <c r="G26" s="288"/>
      <c r="H26" s="288"/>
      <c r="I26" s="288"/>
      <c r="J26" s="288"/>
      <c r="K26" s="288"/>
      <c r="L26" s="288"/>
      <c r="M26" s="289"/>
      <c r="N26" s="233"/>
      <c r="O26" s="233"/>
      <c r="P26" s="233"/>
      <c r="Q26" s="233"/>
      <c r="R26" s="233"/>
      <c r="S26" s="233"/>
    </row>
    <row r="27" spans="1:19">
      <c r="A27" s="233"/>
      <c r="B27" s="233"/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</row>
    <row r="28" spans="1:19">
      <c r="A28" s="233"/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</row>
    <row r="29" spans="1:19">
      <c r="A29" s="233"/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</row>
    <row r="30" spans="1:19">
      <c r="A30" s="233"/>
      <c r="B30" s="233"/>
      <c r="C30" s="233"/>
      <c r="D30" s="233"/>
      <c r="E30" s="233"/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</row>
    <row r="31" spans="1:19">
      <c r="A31" s="233"/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</row>
  </sheetData>
  <protectedRanges>
    <protectedRange sqref="F25 E8:G10 G12:G17" name="Desprotegidas"/>
  </protectedRanges>
  <mergeCells count="20">
    <mergeCell ref="D21:F21"/>
    <mergeCell ref="E8:G8"/>
    <mergeCell ref="E9:G9"/>
    <mergeCell ref="E10:G10"/>
    <mergeCell ref="D19:F19"/>
    <mergeCell ref="D20:F20"/>
    <mergeCell ref="D11:G11"/>
    <mergeCell ref="D12:F12"/>
    <mergeCell ref="D13:F13"/>
    <mergeCell ref="D14:F14"/>
    <mergeCell ref="E4:G4"/>
    <mergeCell ref="E2:G2"/>
    <mergeCell ref="J4:L4"/>
    <mergeCell ref="J2:L2"/>
    <mergeCell ref="D18:G18"/>
    <mergeCell ref="D15:F15"/>
    <mergeCell ref="D16:F16"/>
    <mergeCell ref="D17:F17"/>
    <mergeCell ref="D7:G7"/>
    <mergeCell ref="I7:L7"/>
  </mergeCells>
  <phoneticPr fontId="12" type="noConversion"/>
  <printOptions horizontalCentered="1" verticalCentered="1"/>
  <pageMargins left="0" right="0" top="0" bottom="0" header="0" footer="0"/>
  <pageSetup paperSize="9" scale="78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8">
    <pageSetUpPr fitToPage="1"/>
  </sheetPr>
  <dimension ref="A1:V65"/>
  <sheetViews>
    <sheetView showGridLines="0" zoomScale="80" zoomScaleNormal="80" workbookViewId="0">
      <selection activeCell="H15" sqref="H15:I15"/>
    </sheetView>
  </sheetViews>
  <sheetFormatPr baseColWidth="10" defaultRowHeight="12.75" outlineLevelRow="1"/>
  <cols>
    <col min="1" max="1" width="6.7109375" customWidth="1"/>
    <col min="2" max="2" width="8.7109375" customWidth="1"/>
    <col min="3" max="3" width="38.140625" customWidth="1"/>
    <col min="4" max="4" width="10.7109375" customWidth="1"/>
    <col min="5" max="5" width="8.85546875" customWidth="1"/>
    <col min="6" max="6" width="8.42578125" customWidth="1"/>
    <col min="7" max="7" width="31.7109375" bestFit="1" customWidth="1"/>
    <col min="8" max="8" width="13.5703125" customWidth="1"/>
    <col min="9" max="9" width="9.28515625" customWidth="1"/>
    <col min="10" max="10" width="15.5703125" customWidth="1"/>
    <col min="11" max="12" width="13.42578125" customWidth="1"/>
    <col min="13" max="13" width="13" customWidth="1"/>
    <col min="15" max="15" width="8.7109375" customWidth="1"/>
    <col min="16" max="16" width="8" customWidth="1"/>
    <col min="17" max="17" width="10.140625" hidden="1" customWidth="1"/>
    <col min="18" max="18" width="6.42578125" hidden="1" customWidth="1"/>
    <col min="19" max="20" width="7.28515625" hidden="1" customWidth="1"/>
    <col min="21" max="21" width="0.28515625" hidden="1" customWidth="1"/>
  </cols>
  <sheetData>
    <row r="1" spans="1:22">
      <c r="A1" s="233"/>
      <c r="B1" s="273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8"/>
      <c r="O1" s="233"/>
      <c r="P1" s="233"/>
      <c r="V1" s="233"/>
    </row>
    <row r="2" spans="1:22">
      <c r="A2" s="272"/>
      <c r="B2" s="238"/>
      <c r="C2" s="238" t="s">
        <v>49</v>
      </c>
      <c r="D2" s="603" t="str">
        <f>'Cálculo de consumo'!E2</f>
        <v>Prueba</v>
      </c>
      <c r="E2" s="603"/>
      <c r="F2" s="603"/>
      <c r="G2" s="324" t="s">
        <v>50</v>
      </c>
      <c r="H2" s="238"/>
      <c r="I2" s="603" t="str">
        <f>'Cálculo de consumo'!J2</f>
        <v>Prueba</v>
      </c>
      <c r="J2" s="603"/>
      <c r="K2" s="603"/>
      <c r="L2" s="271"/>
      <c r="M2" s="271"/>
      <c r="N2" s="272"/>
      <c r="O2" s="233"/>
      <c r="P2" s="233"/>
      <c r="V2" s="233"/>
    </row>
    <row r="3" spans="1:22">
      <c r="A3" s="272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72"/>
      <c r="O3" s="233"/>
      <c r="P3" s="233"/>
      <c r="V3" s="233"/>
    </row>
    <row r="4" spans="1:22">
      <c r="A4" s="272"/>
      <c r="B4" s="238"/>
      <c r="C4" s="238" t="s">
        <v>51</v>
      </c>
      <c r="D4" s="603" t="str">
        <f>'Cálculo de consumo'!E4</f>
        <v>Prueba</v>
      </c>
      <c r="E4" s="603"/>
      <c r="F4" s="603"/>
      <c r="G4" s="324" t="s">
        <v>52</v>
      </c>
      <c r="H4" s="238"/>
      <c r="I4" s="603" t="str">
        <f>'Cálculo de consumo'!J4</f>
        <v>Prueba</v>
      </c>
      <c r="J4" s="603"/>
      <c r="K4" s="603"/>
      <c r="L4" s="271"/>
      <c r="M4" s="271"/>
      <c r="N4" s="272"/>
      <c r="O4" s="233"/>
      <c r="P4" s="233"/>
      <c r="V4" s="233"/>
    </row>
    <row r="5" spans="1:22" ht="20.25">
      <c r="A5" s="272"/>
      <c r="B5" s="238"/>
      <c r="C5" s="322" t="s">
        <v>152</v>
      </c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72"/>
      <c r="O5" s="233"/>
      <c r="P5" s="233"/>
      <c r="V5" s="233"/>
    </row>
    <row r="6" spans="1:22" ht="15">
      <c r="A6" s="272"/>
      <c r="B6" s="238"/>
      <c r="C6" s="238"/>
      <c r="D6" s="617" t="s">
        <v>153</v>
      </c>
      <c r="E6" s="617"/>
      <c r="F6" s="617"/>
      <c r="G6" s="617"/>
      <c r="H6" s="238"/>
      <c r="I6" s="238"/>
      <c r="J6" s="238"/>
      <c r="K6" s="238"/>
      <c r="L6" s="238"/>
      <c r="M6" s="238"/>
      <c r="N6" s="272"/>
      <c r="O6" s="233"/>
      <c r="P6" s="233"/>
      <c r="V6" s="233"/>
    </row>
    <row r="7" spans="1:22" ht="13.5" thickBot="1">
      <c r="A7" s="272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72"/>
      <c r="O7" s="233"/>
      <c r="P7" s="233"/>
      <c r="V7" s="233"/>
    </row>
    <row r="8" spans="1:22" ht="19.5" thickBot="1">
      <c r="A8" s="272"/>
      <c r="B8" s="238"/>
      <c r="C8" s="598" t="s">
        <v>154</v>
      </c>
      <c r="D8" s="599"/>
      <c r="E8" s="599"/>
      <c r="F8" s="335"/>
      <c r="G8" s="598" t="s">
        <v>521</v>
      </c>
      <c r="H8" s="599"/>
      <c r="I8" s="599"/>
      <c r="J8" s="318"/>
      <c r="K8" s="555" t="s">
        <v>441</v>
      </c>
      <c r="L8" s="555"/>
      <c r="M8" s="555"/>
      <c r="N8" s="272"/>
      <c r="O8" s="233"/>
      <c r="P8" s="233"/>
      <c r="V8" s="233"/>
    </row>
    <row r="9" spans="1:22" ht="18" customHeight="1">
      <c r="A9" s="272"/>
      <c r="B9" s="238"/>
      <c r="C9" s="330" t="s">
        <v>155</v>
      </c>
      <c r="D9" s="640">
        <v>1</v>
      </c>
      <c r="E9" s="612"/>
      <c r="F9" s="238"/>
      <c r="G9" s="330" t="s">
        <v>42</v>
      </c>
      <c r="H9" s="639" t="s">
        <v>538</v>
      </c>
      <c r="I9" s="612"/>
      <c r="J9" s="238"/>
      <c r="K9" s="314" t="str">
        <f>IF('Intensidad y Ángulo incli.'!O20=2,IF(OR(H12&gt;'Intensidad y Ángulo incli.'!E10,H12&lt;'Intensidad y Ángulo incli.'!E10),"TENSIÓN INCORRECTA",""),IF(OR(H12&gt;'Cálculo de consumo'!F34,H12&lt;'Cálculo de consumo'!F34),"TENSIÓN INCORRECTA",""))</f>
        <v/>
      </c>
      <c r="L9" s="314"/>
      <c r="M9" s="314"/>
      <c r="N9" s="272"/>
      <c r="O9" s="233"/>
      <c r="P9" s="233"/>
      <c r="Q9" s="417" t="s">
        <v>234</v>
      </c>
      <c r="R9" s="418">
        <v>6</v>
      </c>
      <c r="S9">
        <v>120</v>
      </c>
      <c r="T9" s="538" t="s">
        <v>232</v>
      </c>
      <c r="U9">
        <f>'Dimensionado Batería'!E25/5</f>
        <v>1939.2</v>
      </c>
      <c r="V9" s="233"/>
    </row>
    <row r="10" spans="1:22" ht="18" customHeight="1">
      <c r="A10" s="272"/>
      <c r="B10" s="238"/>
      <c r="C10" s="330" t="s">
        <v>471</v>
      </c>
      <c r="D10" s="618">
        <v>4</v>
      </c>
      <c r="E10" s="618"/>
      <c r="F10" s="325"/>
      <c r="G10" s="330" t="s">
        <v>43</v>
      </c>
      <c r="H10" s="638" t="s">
        <v>539</v>
      </c>
      <c r="I10" s="618"/>
      <c r="J10" s="238"/>
      <c r="K10" s="314" t="str">
        <f>IF((H14*H16)&lt;D14,"SERÍA NECESARIO AUMENTAR POTENCIA DEL INVERSOR","")</f>
        <v/>
      </c>
      <c r="L10" s="314"/>
      <c r="M10" s="314"/>
      <c r="N10" s="272"/>
      <c r="O10" s="233"/>
      <c r="P10" s="233"/>
      <c r="Q10" s="417" t="s">
        <v>233</v>
      </c>
      <c r="R10" s="418">
        <v>12</v>
      </c>
      <c r="S10">
        <v>130</v>
      </c>
      <c r="T10" s="538" t="s">
        <v>231</v>
      </c>
      <c r="U10">
        <f>H19*J16</f>
        <v>140</v>
      </c>
      <c r="V10" s="233"/>
    </row>
    <row r="11" spans="1:22" ht="18" customHeight="1">
      <c r="A11" s="272"/>
      <c r="B11" s="238"/>
      <c r="C11" s="330" t="s">
        <v>472</v>
      </c>
      <c r="D11" s="618">
        <v>3</v>
      </c>
      <c r="E11" s="618"/>
      <c r="F11" s="238"/>
      <c r="G11" s="330" t="s">
        <v>155</v>
      </c>
      <c r="H11" s="638" t="s">
        <v>234</v>
      </c>
      <c r="I11" s="618"/>
      <c r="J11" s="238"/>
      <c r="K11" s="314" t="str">
        <f>IF(J16*1.25&lt;H16,"POTENCIA DE INVERSOR INSUFICIENTE","")</f>
        <v/>
      </c>
      <c r="L11" s="314"/>
      <c r="M11" s="314"/>
      <c r="N11" s="272"/>
      <c r="O11" s="233"/>
      <c r="P11" s="233"/>
      <c r="Q11" s="417" t="s">
        <v>495</v>
      </c>
      <c r="R11" s="418">
        <v>24</v>
      </c>
      <c r="S11">
        <v>220</v>
      </c>
      <c r="V11" s="233"/>
    </row>
    <row r="12" spans="1:22" ht="18" customHeight="1">
      <c r="A12" s="272"/>
      <c r="B12" s="238"/>
      <c r="C12" s="330" t="s">
        <v>473</v>
      </c>
      <c r="D12" s="634">
        <f>IF('Intensidad y Ángulo incli.'!O20=2,'Intensidad y Ángulo incli.'!E16,SUM('Cálculo de consumo'!G12:G19))</f>
        <v>3238</v>
      </c>
      <c r="E12" s="635"/>
      <c r="F12" s="238"/>
      <c r="G12" s="330" t="s">
        <v>158</v>
      </c>
      <c r="H12" s="618">
        <v>48</v>
      </c>
      <c r="I12" s="618" t="s">
        <v>156</v>
      </c>
      <c r="J12" s="238"/>
      <c r="K12" s="314" t="str">
        <f>IF(K16&gt;1.25*D12,"POTENCIA AC SOBREDIMENSIONADA","")</f>
        <v/>
      </c>
      <c r="L12" s="314"/>
      <c r="M12" s="314"/>
      <c r="N12" s="272"/>
      <c r="O12" s="233"/>
      <c r="P12" s="233"/>
      <c r="R12" s="418">
        <v>48</v>
      </c>
      <c r="S12">
        <v>230</v>
      </c>
      <c r="V12" s="233"/>
    </row>
    <row r="13" spans="1:22" ht="18" customHeight="1" thickBot="1">
      <c r="A13" s="272"/>
      <c r="B13" s="238"/>
      <c r="C13" s="410" t="s">
        <v>496</v>
      </c>
      <c r="D13" s="618">
        <v>75</v>
      </c>
      <c r="E13" s="618"/>
      <c r="F13" s="238"/>
      <c r="G13" s="330" t="s">
        <v>159</v>
      </c>
      <c r="H13" s="618">
        <v>230</v>
      </c>
      <c r="I13" s="618" t="s">
        <v>156</v>
      </c>
      <c r="J13" s="516"/>
      <c r="K13" s="238"/>
      <c r="L13" s="238"/>
      <c r="M13" s="238"/>
      <c r="N13" s="272"/>
      <c r="O13" s="233"/>
      <c r="P13" s="233"/>
      <c r="R13" s="418">
        <v>120</v>
      </c>
      <c r="V13" s="233"/>
    </row>
    <row r="14" spans="1:22" ht="18" customHeight="1">
      <c r="A14" s="272"/>
      <c r="B14" s="238"/>
      <c r="C14" s="416" t="s">
        <v>497</v>
      </c>
      <c r="D14" s="634">
        <f>D12*D13/100</f>
        <v>2428.5</v>
      </c>
      <c r="E14" s="635"/>
      <c r="F14" s="238"/>
      <c r="G14" s="513" t="s">
        <v>519</v>
      </c>
      <c r="H14" s="619">
        <v>1200</v>
      </c>
      <c r="I14" s="620"/>
      <c r="J14" s="623" t="s">
        <v>520</v>
      </c>
      <c r="K14" s="625" t="s">
        <v>522</v>
      </c>
      <c r="L14" s="238"/>
      <c r="M14" s="238"/>
      <c r="N14" s="272"/>
      <c r="O14" s="233"/>
      <c r="P14" s="233"/>
      <c r="R14" s="418">
        <v>240</v>
      </c>
      <c r="V14" s="233"/>
    </row>
    <row r="15" spans="1:22" ht="18" customHeight="1" thickBot="1">
      <c r="A15" s="272"/>
      <c r="B15" s="238"/>
      <c r="C15" s="330" t="s">
        <v>474</v>
      </c>
      <c r="D15" s="614"/>
      <c r="E15" s="614"/>
      <c r="F15" s="238"/>
      <c r="G15" s="537" t="s">
        <v>530</v>
      </c>
      <c r="H15" s="618">
        <v>2400</v>
      </c>
      <c r="I15" s="618" t="s">
        <v>157</v>
      </c>
      <c r="J15" s="624"/>
      <c r="K15" s="626"/>
      <c r="L15" s="238"/>
      <c r="M15" s="238"/>
      <c r="N15" s="272"/>
      <c r="O15" s="233"/>
      <c r="P15" s="233"/>
      <c r="V15" s="233"/>
    </row>
    <row r="16" spans="1:22" ht="24" customHeight="1">
      <c r="A16" s="272"/>
      <c r="B16" s="238"/>
      <c r="C16" s="416" t="s">
        <v>475</v>
      </c>
      <c r="D16" s="636">
        <v>0.9</v>
      </c>
      <c r="E16" s="637"/>
      <c r="F16" s="238"/>
      <c r="G16" s="517" t="s">
        <v>523</v>
      </c>
      <c r="H16" s="621">
        <f>D14/H14</f>
        <v>2.0237500000000002</v>
      </c>
      <c r="I16" s="622"/>
      <c r="J16" s="521">
        <v>2</v>
      </c>
      <c r="K16" s="210">
        <f>J16*H14</f>
        <v>2400</v>
      </c>
      <c r="L16" s="520"/>
      <c r="M16" s="238"/>
      <c r="N16" s="272"/>
      <c r="O16" s="233"/>
      <c r="P16" s="233"/>
      <c r="V16" s="233"/>
    </row>
    <row r="17" spans="1:22" ht="24" customHeight="1">
      <c r="A17" s="272"/>
      <c r="B17" s="238"/>
      <c r="C17" s="233"/>
      <c r="D17" s="233"/>
      <c r="E17" s="233"/>
      <c r="F17" s="238"/>
      <c r="G17" s="532" t="s">
        <v>525</v>
      </c>
      <c r="H17" s="533">
        <v>1</v>
      </c>
      <c r="I17" s="533"/>
      <c r="J17" s="238"/>
      <c r="K17" s="238"/>
      <c r="L17" s="520"/>
      <c r="M17" s="238"/>
      <c r="N17" s="272"/>
      <c r="O17" s="233"/>
      <c r="P17" s="233"/>
      <c r="V17" s="233"/>
    </row>
    <row r="18" spans="1:22" ht="19.5" customHeight="1" outlineLevel="1">
      <c r="A18" s="272"/>
      <c r="B18" s="238"/>
      <c r="C18" s="233"/>
      <c r="D18" s="233"/>
      <c r="E18" s="233"/>
      <c r="F18" s="238"/>
      <c r="G18" s="536" t="s">
        <v>480</v>
      </c>
      <c r="H18" s="619">
        <v>230</v>
      </c>
      <c r="I18" s="620"/>
      <c r="J18" s="238"/>
      <c r="K18" s="555" t="s">
        <v>441</v>
      </c>
      <c r="L18" s="555"/>
      <c r="M18" s="555"/>
      <c r="N18" s="272"/>
      <c r="O18" s="233"/>
      <c r="P18" s="233"/>
      <c r="V18" s="233"/>
    </row>
    <row r="19" spans="1:22" ht="19.5" customHeight="1" outlineLevel="1">
      <c r="A19" s="272"/>
      <c r="B19" s="238"/>
      <c r="C19" s="233"/>
      <c r="D19" s="233"/>
      <c r="E19" s="233"/>
      <c r="F19" s="238"/>
      <c r="G19" s="536" t="s">
        <v>531</v>
      </c>
      <c r="H19" s="619">
        <v>70</v>
      </c>
      <c r="I19" s="620"/>
      <c r="J19" s="238"/>
      <c r="K19" s="314" t="str">
        <f>IF(U10&gt;U9,"CORRIENTE DE CARGA PERJUDICIAL PARA EL BANCO DE BATERÍAS","")</f>
        <v/>
      </c>
      <c r="L19" s="314"/>
      <c r="M19" s="314"/>
      <c r="N19" s="272"/>
      <c r="O19" s="233"/>
      <c r="P19" s="233"/>
      <c r="V19" s="233"/>
    </row>
    <row r="20" spans="1:22" ht="19.5" customHeight="1" outlineLevel="1">
      <c r="A20" s="272"/>
      <c r="B20" s="238"/>
      <c r="C20" s="233"/>
      <c r="D20" s="233"/>
      <c r="E20" s="233"/>
      <c r="F20" s="238"/>
      <c r="G20" s="536" t="s">
        <v>532</v>
      </c>
      <c r="H20" s="621">
        <f>'Dimensionado Batería'!G25/(H19*J16)</f>
        <v>48.48</v>
      </c>
      <c r="I20" s="627"/>
      <c r="J20" s="238"/>
      <c r="K20" s="314"/>
      <c r="L20" s="314"/>
      <c r="M20" s="314"/>
      <c r="N20" s="272"/>
      <c r="O20" s="233"/>
      <c r="P20" s="233"/>
      <c r="V20" s="233"/>
    </row>
    <row r="21" spans="1:22" ht="21.75" customHeight="1" outlineLevel="1">
      <c r="A21" s="272"/>
      <c r="B21" s="238"/>
      <c r="C21" s="233"/>
      <c r="D21" s="233"/>
      <c r="E21" s="233"/>
      <c r="F21" s="238"/>
      <c r="G21" s="532" t="s">
        <v>526</v>
      </c>
      <c r="H21" s="539">
        <v>1</v>
      </c>
      <c r="I21" s="539"/>
      <c r="J21" s="238"/>
      <c r="K21" s="238"/>
      <c r="L21" s="520"/>
      <c r="M21" s="238"/>
      <c r="N21" s="272"/>
      <c r="O21" s="233"/>
      <c r="P21" s="233"/>
      <c r="V21" s="233"/>
    </row>
    <row r="22" spans="1:22" ht="26.25" customHeight="1" outlineLevel="1">
      <c r="A22" s="272"/>
      <c r="B22" s="238"/>
      <c r="C22" s="233"/>
      <c r="D22" s="233"/>
      <c r="E22" s="233"/>
      <c r="F22" s="238"/>
      <c r="G22" s="532" t="s">
        <v>527</v>
      </c>
      <c r="H22" s="539">
        <v>1</v>
      </c>
      <c r="I22" s="539"/>
      <c r="J22" s="238"/>
      <c r="K22" s="238"/>
      <c r="L22" s="520"/>
      <c r="M22" s="238"/>
      <c r="N22" s="272"/>
      <c r="O22" s="233"/>
      <c r="P22" s="233"/>
      <c r="V22" s="233"/>
    </row>
    <row r="23" spans="1:22" ht="15.75" outlineLevel="1">
      <c r="A23" s="272"/>
      <c r="B23" s="238"/>
      <c r="C23" s="233"/>
      <c r="D23" s="233"/>
      <c r="E23" s="233"/>
      <c r="F23" s="238"/>
      <c r="G23" s="540" t="s">
        <v>528</v>
      </c>
      <c r="H23" s="539">
        <v>1</v>
      </c>
      <c r="I23" s="539"/>
      <c r="J23" s="238"/>
      <c r="K23" s="238"/>
      <c r="L23" s="520"/>
      <c r="M23" s="238"/>
      <c r="N23" s="272"/>
      <c r="O23" s="233"/>
      <c r="P23" s="233"/>
      <c r="V23" s="233"/>
    </row>
    <row r="24" spans="1:22" ht="23.25" customHeight="1">
      <c r="A24" s="272"/>
      <c r="B24" s="238"/>
      <c r="C24" s="233"/>
      <c r="D24" s="233"/>
      <c r="E24" s="233"/>
      <c r="F24" s="238"/>
      <c r="G24" s="233"/>
      <c r="H24" s="233"/>
      <c r="I24" s="233"/>
      <c r="J24" s="233"/>
      <c r="K24" s="238"/>
      <c r="L24" s="238"/>
      <c r="M24" s="238"/>
      <c r="N24" s="272"/>
      <c r="O24" s="233"/>
      <c r="P24" s="233"/>
      <c r="V24" s="233"/>
    </row>
    <row r="25" spans="1:22" ht="15" customHeight="1">
      <c r="A25" s="272"/>
      <c r="B25" s="238"/>
      <c r="C25" s="233"/>
      <c r="D25" s="617" t="s">
        <v>529</v>
      </c>
      <c r="E25" s="617"/>
      <c r="F25" s="617"/>
      <c r="G25" s="617"/>
      <c r="H25" s="233"/>
      <c r="I25" s="233"/>
      <c r="J25" s="233"/>
      <c r="K25" s="238"/>
      <c r="L25" s="238"/>
      <c r="M25" s="238"/>
      <c r="N25" s="272"/>
      <c r="O25" s="233"/>
      <c r="P25" s="233"/>
      <c r="V25" s="233"/>
    </row>
    <row r="26" spans="1:22" ht="23.25" customHeight="1" thickBot="1">
      <c r="A26" s="272"/>
      <c r="B26" s="238"/>
      <c r="C26" s="233"/>
      <c r="D26" s="233"/>
      <c r="E26" s="233"/>
      <c r="F26" s="238"/>
      <c r="G26" s="233"/>
      <c r="H26" s="233"/>
      <c r="I26" s="233"/>
      <c r="J26" s="233"/>
      <c r="K26" s="238"/>
      <c r="L26" s="238"/>
      <c r="M26" s="238"/>
      <c r="N26" s="272"/>
      <c r="O26" s="233"/>
      <c r="P26" s="233"/>
      <c r="V26" s="233"/>
    </row>
    <row r="27" spans="1:22" ht="17.25" customHeight="1" outlineLevel="1" thickBot="1">
      <c r="A27" s="272"/>
      <c r="B27" s="238"/>
      <c r="C27" s="233"/>
      <c r="D27" s="233"/>
      <c r="E27" s="233"/>
      <c r="F27" s="238"/>
      <c r="G27" s="598" t="s">
        <v>160</v>
      </c>
      <c r="H27" s="599"/>
      <c r="I27" s="600"/>
      <c r="J27" s="233"/>
      <c r="K27" s="238"/>
      <c r="L27" s="238"/>
      <c r="M27" s="238"/>
      <c r="N27" s="272"/>
      <c r="O27" s="233"/>
      <c r="P27" s="233"/>
      <c r="V27" s="233"/>
    </row>
    <row r="28" spans="1:22" ht="15" outlineLevel="1">
      <c r="A28" s="272"/>
      <c r="B28" s="238"/>
      <c r="C28" s="233"/>
      <c r="D28" s="233"/>
      <c r="E28" s="233"/>
      <c r="F28" s="238"/>
      <c r="G28" s="541" t="s">
        <v>43</v>
      </c>
      <c r="H28" s="630"/>
      <c r="I28" s="631"/>
      <c r="J28" s="238"/>
      <c r="K28" s="238"/>
      <c r="L28" s="238"/>
      <c r="M28" s="238"/>
      <c r="N28" s="272"/>
      <c r="O28" s="233"/>
      <c r="P28" s="233"/>
      <c r="V28" s="233"/>
    </row>
    <row r="29" spans="1:22" ht="15" outlineLevel="1">
      <c r="A29" s="272"/>
      <c r="B29" s="238"/>
      <c r="C29" s="238"/>
      <c r="D29" s="238"/>
      <c r="E29" s="238"/>
      <c r="F29" s="238"/>
      <c r="G29" s="541" t="s">
        <v>533</v>
      </c>
      <c r="H29" s="619"/>
      <c r="I29" s="620"/>
      <c r="J29" s="238"/>
      <c r="K29" s="238"/>
      <c r="L29" s="238"/>
      <c r="M29" s="238"/>
      <c r="N29" s="272"/>
      <c r="O29" s="233"/>
      <c r="P29" s="233"/>
      <c r="V29" s="233"/>
    </row>
    <row r="30" spans="1:22" ht="15" outlineLevel="1">
      <c r="A30" s="272"/>
      <c r="B30" s="238"/>
      <c r="C30" s="238"/>
      <c r="D30" s="238"/>
      <c r="E30" s="238"/>
      <c r="F30" s="238"/>
      <c r="G30" s="541" t="s">
        <v>534</v>
      </c>
      <c r="H30" s="619"/>
      <c r="I30" s="620"/>
      <c r="J30" s="238"/>
      <c r="K30" s="238"/>
      <c r="L30" s="238"/>
      <c r="M30" s="238"/>
      <c r="N30" s="272"/>
      <c r="O30" s="233"/>
      <c r="P30" s="233"/>
      <c r="V30" s="233"/>
    </row>
    <row r="31" spans="1:22" ht="15" outlineLevel="1">
      <c r="A31" s="272"/>
      <c r="B31" s="238"/>
      <c r="C31" s="238"/>
      <c r="D31" s="238"/>
      <c r="E31" s="238"/>
      <c r="F31" s="238"/>
      <c r="G31" s="541" t="s">
        <v>218</v>
      </c>
      <c r="H31" s="628"/>
      <c r="I31" s="629"/>
      <c r="J31" s="238"/>
      <c r="K31" s="238"/>
      <c r="L31" s="238"/>
      <c r="M31" s="238"/>
      <c r="N31" s="272"/>
      <c r="O31" s="233"/>
      <c r="P31" s="233"/>
      <c r="V31" s="233"/>
    </row>
    <row r="32" spans="1:22" ht="15" outlineLevel="1">
      <c r="A32" s="272"/>
      <c r="B32" s="238"/>
      <c r="C32" s="238"/>
      <c r="D32" s="238"/>
      <c r="E32" s="238"/>
      <c r="F32" s="238"/>
      <c r="G32" s="541" t="s">
        <v>535</v>
      </c>
      <c r="H32" s="628"/>
      <c r="I32" s="629"/>
      <c r="J32" s="238"/>
      <c r="K32" s="238"/>
      <c r="L32" s="238"/>
      <c r="M32" s="238"/>
      <c r="N32" s="272"/>
      <c r="O32" s="233"/>
      <c r="P32" s="233"/>
      <c r="V32" s="233"/>
    </row>
    <row r="33" spans="1:22" ht="15" outlineLevel="1">
      <c r="A33" s="272"/>
      <c r="B33" s="238"/>
      <c r="C33" s="238"/>
      <c r="D33" s="238"/>
      <c r="E33" s="238"/>
      <c r="F33" s="238"/>
      <c r="G33" s="541" t="s">
        <v>536</v>
      </c>
      <c r="H33" s="542"/>
      <c r="I33" s="543"/>
      <c r="J33" s="238"/>
      <c r="K33" s="238"/>
      <c r="L33" s="238"/>
      <c r="M33" s="238"/>
      <c r="N33" s="272"/>
      <c r="O33" s="233"/>
      <c r="P33" s="233"/>
      <c r="V33" s="233"/>
    </row>
    <row r="34" spans="1:22" ht="15" outlineLevel="1">
      <c r="A34" s="272"/>
      <c r="B34" s="238"/>
      <c r="C34" s="238"/>
      <c r="D34" s="238"/>
      <c r="E34" s="238"/>
      <c r="F34" s="238"/>
      <c r="G34" s="541" t="s">
        <v>537</v>
      </c>
      <c r="H34" s="618"/>
      <c r="I34" s="618"/>
      <c r="J34" s="238"/>
      <c r="K34" s="238"/>
      <c r="L34" s="238"/>
      <c r="M34" s="238"/>
      <c r="N34" s="272"/>
      <c r="O34" s="233"/>
      <c r="P34" s="233"/>
      <c r="V34" s="233"/>
    </row>
    <row r="35" spans="1:22">
      <c r="A35" s="272"/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72"/>
      <c r="O35" s="233"/>
      <c r="P35" s="233"/>
      <c r="V35" s="233"/>
    </row>
    <row r="36" spans="1:22" ht="12.75" customHeight="1">
      <c r="A36" s="272"/>
      <c r="B36" s="238"/>
      <c r="C36" s="238"/>
      <c r="D36" s="617" t="s">
        <v>161</v>
      </c>
      <c r="E36" s="617"/>
      <c r="F36" s="617"/>
      <c r="G36" s="617"/>
      <c r="H36" s="238"/>
      <c r="I36" s="238"/>
      <c r="J36" s="238"/>
      <c r="K36" s="238"/>
      <c r="L36" s="238"/>
      <c r="M36" s="238"/>
      <c r="N36" s="272"/>
      <c r="O36" s="233"/>
      <c r="P36" s="233"/>
      <c r="V36" s="233"/>
    </row>
    <row r="37" spans="1:22" ht="13.5" thickBot="1">
      <c r="A37" s="272"/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72"/>
      <c r="O37" s="233"/>
      <c r="P37" s="233"/>
      <c r="V37" s="233"/>
    </row>
    <row r="38" spans="1:22" ht="19.5" outlineLevel="1" thickBot="1">
      <c r="A38" s="272"/>
      <c r="B38" s="238"/>
      <c r="C38" s="632" t="s">
        <v>154</v>
      </c>
      <c r="D38" s="633"/>
      <c r="E38" s="633"/>
      <c r="F38" s="335"/>
      <c r="G38" s="598" t="s">
        <v>178</v>
      </c>
      <c r="H38" s="599"/>
      <c r="I38" s="599"/>
      <c r="J38" s="318"/>
      <c r="K38" s="238"/>
      <c r="L38" s="238"/>
      <c r="M38" s="238"/>
      <c r="N38" s="272"/>
      <c r="O38" s="233"/>
      <c r="P38" s="233"/>
      <c r="V38" s="233"/>
    </row>
    <row r="39" spans="1:22" ht="15" outlineLevel="1">
      <c r="A39" s="272"/>
      <c r="B39" s="238"/>
      <c r="C39" s="330" t="s">
        <v>476</v>
      </c>
      <c r="D39" s="618"/>
      <c r="E39" s="618"/>
      <c r="F39" s="238"/>
      <c r="G39" s="330" t="s">
        <v>42</v>
      </c>
      <c r="H39" s="618"/>
      <c r="I39" s="618"/>
      <c r="J39" s="238"/>
      <c r="K39" s="238"/>
      <c r="L39" s="238"/>
      <c r="M39" s="238"/>
      <c r="N39" s="272"/>
      <c r="O39" s="233"/>
      <c r="P39" s="233"/>
      <c r="V39" s="233"/>
    </row>
    <row r="40" spans="1:22" ht="15" outlineLevel="1">
      <c r="A40" s="272"/>
      <c r="B40" s="238"/>
      <c r="C40" s="330" t="s">
        <v>477</v>
      </c>
      <c r="D40" s="618"/>
      <c r="E40" s="618"/>
      <c r="F40" s="238"/>
      <c r="G40" s="330" t="s">
        <v>43</v>
      </c>
      <c r="H40" s="618"/>
      <c r="I40" s="618"/>
      <c r="J40" s="238"/>
      <c r="K40" s="238"/>
      <c r="L40" s="238"/>
      <c r="M40" s="238"/>
      <c r="N40" s="272"/>
      <c r="O40" s="233"/>
      <c r="P40" s="233"/>
      <c r="V40" s="233"/>
    </row>
    <row r="41" spans="1:22" ht="15" outlineLevel="1">
      <c r="A41" s="272"/>
      <c r="B41" s="238"/>
      <c r="C41" s="330" t="s">
        <v>478</v>
      </c>
      <c r="D41" s="618"/>
      <c r="E41" s="618"/>
      <c r="F41" s="238"/>
      <c r="G41" s="330" t="s">
        <v>480</v>
      </c>
      <c r="H41" s="618"/>
      <c r="I41" s="618"/>
      <c r="J41" s="238"/>
      <c r="K41" s="238"/>
      <c r="L41" s="238"/>
      <c r="M41" s="238"/>
      <c r="N41" s="272"/>
      <c r="O41" s="233"/>
      <c r="P41" s="233"/>
      <c r="V41" s="233"/>
    </row>
    <row r="42" spans="1:22" ht="15" outlineLevel="1">
      <c r="A42" s="272"/>
      <c r="B42" s="238"/>
      <c r="C42" s="330" t="s">
        <v>479</v>
      </c>
      <c r="D42" s="618"/>
      <c r="E42" s="618"/>
      <c r="F42" s="238"/>
      <c r="G42" s="330" t="s">
        <v>481</v>
      </c>
      <c r="H42" s="618"/>
      <c r="I42" s="618"/>
      <c r="J42" s="238"/>
      <c r="K42" s="238"/>
      <c r="L42" s="238"/>
      <c r="M42" s="238"/>
      <c r="N42" s="272"/>
      <c r="O42" s="233"/>
      <c r="P42" s="233"/>
      <c r="V42" s="233"/>
    </row>
    <row r="43" spans="1:22" ht="15" outlineLevel="1">
      <c r="A43" s="272"/>
      <c r="B43" s="238"/>
      <c r="C43" s="238"/>
      <c r="D43" s="238"/>
      <c r="E43" s="238"/>
      <c r="F43" s="238"/>
      <c r="G43" s="330" t="s">
        <v>482</v>
      </c>
      <c r="H43" s="618"/>
      <c r="I43" s="618"/>
      <c r="J43" s="238"/>
      <c r="K43" s="238"/>
      <c r="L43" s="238"/>
      <c r="M43" s="238"/>
      <c r="N43" s="272"/>
      <c r="O43" s="233"/>
      <c r="P43" s="233"/>
      <c r="V43" s="233"/>
    </row>
    <row r="44" spans="1:22" ht="15.75" outlineLevel="1" thickBot="1">
      <c r="A44" s="272"/>
      <c r="B44" s="238"/>
      <c r="C44" s="238"/>
      <c r="D44" s="238"/>
      <c r="E44" s="238"/>
      <c r="F44" s="238"/>
      <c r="G44" s="330" t="s">
        <v>479</v>
      </c>
      <c r="H44" s="618"/>
      <c r="I44" s="618"/>
      <c r="J44" s="238"/>
      <c r="K44" s="238"/>
      <c r="L44" s="238"/>
      <c r="M44" s="238"/>
      <c r="N44" s="272"/>
      <c r="O44" s="233"/>
      <c r="P44" s="233"/>
      <c r="V44" s="233"/>
    </row>
    <row r="45" spans="1:22" ht="19.5" outlineLevel="1" thickBot="1">
      <c r="A45" s="272"/>
      <c r="B45" s="238"/>
      <c r="C45" s="238"/>
      <c r="D45" s="238"/>
      <c r="E45" s="238"/>
      <c r="F45" s="238"/>
      <c r="G45" s="598" t="s">
        <v>160</v>
      </c>
      <c r="H45" s="599"/>
      <c r="I45" s="599"/>
      <c r="J45" s="318"/>
      <c r="K45" s="238"/>
      <c r="L45" s="238"/>
      <c r="M45" s="238"/>
      <c r="N45" s="272"/>
      <c r="O45" s="233"/>
      <c r="P45" s="233"/>
      <c r="V45" s="233"/>
    </row>
    <row r="46" spans="1:22" ht="15" outlineLevel="1">
      <c r="A46" s="272"/>
      <c r="B46" s="238"/>
      <c r="C46" s="238"/>
      <c r="D46" s="238"/>
      <c r="E46" s="238"/>
      <c r="F46" s="238"/>
      <c r="G46" s="330" t="s">
        <v>179</v>
      </c>
      <c r="H46" s="618"/>
      <c r="I46" s="618"/>
      <c r="J46" s="238"/>
      <c r="K46" s="238"/>
      <c r="L46" s="238"/>
      <c r="M46" s="238"/>
      <c r="N46" s="272"/>
      <c r="O46" s="233"/>
      <c r="P46" s="233"/>
      <c r="V46" s="233"/>
    </row>
    <row r="47" spans="1:22" ht="13.5" thickBot="1">
      <c r="A47" s="272"/>
      <c r="B47" s="285"/>
      <c r="C47" s="288"/>
      <c r="D47" s="288"/>
      <c r="E47" s="288"/>
      <c r="F47" s="288"/>
      <c r="G47" s="288"/>
      <c r="H47" s="288"/>
      <c r="I47" s="288"/>
      <c r="J47" s="288"/>
      <c r="K47" s="288"/>
      <c r="L47" s="288"/>
      <c r="M47" s="288"/>
      <c r="N47" s="289"/>
      <c r="O47" s="233"/>
      <c r="P47" s="233"/>
      <c r="V47" s="233"/>
    </row>
    <row r="48" spans="1:22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V48" s="233"/>
    </row>
    <row r="49" spans="1:22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V49" s="233"/>
    </row>
    <row r="50" spans="1:22">
      <c r="A50" s="233"/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V50" s="233"/>
    </row>
    <row r="51" spans="1:22">
      <c r="A51" s="233"/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V51" s="233"/>
    </row>
    <row r="52" spans="1:22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V52" s="233"/>
    </row>
    <row r="53" spans="1:22">
      <c r="A53" s="233"/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V53" s="233"/>
    </row>
    <row r="54" spans="1:22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V54" s="233"/>
    </row>
    <row r="55" spans="1:22">
      <c r="A55" s="233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V55" s="233"/>
    </row>
    <row r="56" spans="1:22">
      <c r="A56" s="233"/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V56" s="233"/>
    </row>
    <row r="57" spans="1:22">
      <c r="A57" s="233"/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V57" s="233"/>
    </row>
    <row r="58" spans="1:22">
      <c r="A58" s="233"/>
      <c r="B58" s="233"/>
      <c r="C58" s="233"/>
      <c r="D58" s="233"/>
      <c r="E58" s="233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V58" s="233"/>
    </row>
    <row r="59" spans="1:22">
      <c r="A59" s="233"/>
      <c r="B59" s="233"/>
      <c r="C59" s="233"/>
      <c r="D59" s="233"/>
      <c r="E59" s="233"/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V59" s="233"/>
    </row>
    <row r="60" spans="1:22">
      <c r="A60" s="233"/>
      <c r="B60" s="233"/>
      <c r="C60" s="233"/>
      <c r="D60" s="233"/>
      <c r="E60" s="233"/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V60" s="233"/>
    </row>
    <row r="61" spans="1:22">
      <c r="A61" s="233"/>
      <c r="B61" s="233"/>
      <c r="C61" s="233"/>
      <c r="D61" s="233"/>
      <c r="E61" s="233"/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V61" s="233"/>
    </row>
    <row r="62" spans="1:22">
      <c r="A62" s="233"/>
      <c r="B62" s="233"/>
      <c r="C62" s="233"/>
      <c r="D62" s="233"/>
      <c r="E62" s="233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V62" s="233"/>
    </row>
    <row r="63" spans="1:22">
      <c r="A63" s="233"/>
      <c r="B63" s="233"/>
      <c r="C63" s="233"/>
      <c r="D63" s="233"/>
      <c r="E63" s="233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V63" s="233"/>
    </row>
    <row r="64" spans="1:22">
      <c r="A64" s="233"/>
      <c r="B64" s="233"/>
      <c r="C64" s="233"/>
      <c r="D64" s="233"/>
      <c r="E64" s="233"/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V64" s="233"/>
    </row>
    <row r="65" spans="1:22">
      <c r="A65" s="233"/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V65" s="233"/>
    </row>
  </sheetData>
  <protectedRanges>
    <protectedRange sqref="D39:E42 H9:I11 H12:H23 H28:I34 H39:I40 H41:H44 H46 D9:E13 D15:E23" name="Desprotegidos"/>
  </protectedRanges>
  <mergeCells count="53">
    <mergeCell ref="D2:F2"/>
    <mergeCell ref="D4:F4"/>
    <mergeCell ref="I4:K4"/>
    <mergeCell ref="I2:K2"/>
    <mergeCell ref="H11:I11"/>
    <mergeCell ref="C8:E8"/>
    <mergeCell ref="G8:I8"/>
    <mergeCell ref="H9:I9"/>
    <mergeCell ref="H10:I10"/>
    <mergeCell ref="D9:E9"/>
    <mergeCell ref="D10:E10"/>
    <mergeCell ref="D11:E11"/>
    <mergeCell ref="D6:G6"/>
    <mergeCell ref="K8:M8"/>
    <mergeCell ref="D36:G36"/>
    <mergeCell ref="D12:E12"/>
    <mergeCell ref="D13:E13"/>
    <mergeCell ref="D15:E15"/>
    <mergeCell ref="D16:E16"/>
    <mergeCell ref="D14:E14"/>
    <mergeCell ref="H46:I46"/>
    <mergeCell ref="D42:E42"/>
    <mergeCell ref="G38:I38"/>
    <mergeCell ref="G45:I45"/>
    <mergeCell ref="H39:I39"/>
    <mergeCell ref="H40:I40"/>
    <mergeCell ref="D40:E40"/>
    <mergeCell ref="D41:E41"/>
    <mergeCell ref="D39:E39"/>
    <mergeCell ref="C38:E38"/>
    <mergeCell ref="H41:I41"/>
    <mergeCell ref="H42:I42"/>
    <mergeCell ref="H43:I43"/>
    <mergeCell ref="H44:I44"/>
    <mergeCell ref="H34:I34"/>
    <mergeCell ref="G27:I27"/>
    <mergeCell ref="H32:I32"/>
    <mergeCell ref="H29:I29"/>
    <mergeCell ref="H30:I30"/>
    <mergeCell ref="H31:I31"/>
    <mergeCell ref="H28:I28"/>
    <mergeCell ref="K18:M18"/>
    <mergeCell ref="D25:G25"/>
    <mergeCell ref="H12:I12"/>
    <mergeCell ref="H13:I13"/>
    <mergeCell ref="H14:I14"/>
    <mergeCell ref="H15:I15"/>
    <mergeCell ref="H16:I16"/>
    <mergeCell ref="H18:I18"/>
    <mergeCell ref="H19:I19"/>
    <mergeCell ref="J14:J15"/>
    <mergeCell ref="K14:K15"/>
    <mergeCell ref="H20:I20"/>
  </mergeCells>
  <phoneticPr fontId="12" type="noConversion"/>
  <printOptions horizontalCentered="1" verticalCentered="1"/>
  <pageMargins left="0" right="0" top="0" bottom="0" header="0" footer="0"/>
  <pageSetup paperSize="9" scale="70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9">
    <pageSetUpPr fitToPage="1"/>
  </sheetPr>
  <dimension ref="A1:Q54"/>
  <sheetViews>
    <sheetView showGridLines="0" topLeftCell="A19" zoomScale="80" zoomScaleNormal="80" workbookViewId="0">
      <selection activeCell="G9" sqref="G9"/>
    </sheetView>
  </sheetViews>
  <sheetFormatPr baseColWidth="10" defaultRowHeight="12.75" outlineLevelRow="1"/>
  <cols>
    <col min="1" max="1" width="6.7109375" customWidth="1"/>
    <col min="2" max="2" width="8.7109375" customWidth="1"/>
    <col min="3" max="3" width="16.42578125" customWidth="1"/>
    <col min="4" max="4" width="17.42578125" customWidth="1"/>
    <col min="5" max="5" width="12.5703125" customWidth="1"/>
    <col min="6" max="6" width="23.5703125" customWidth="1"/>
    <col min="7" max="7" width="15.28515625" bestFit="1" customWidth="1"/>
    <col min="8" max="8" width="13.42578125" customWidth="1"/>
    <col min="9" max="9" width="15.28515625" customWidth="1"/>
    <col min="10" max="10" width="13.140625" customWidth="1"/>
    <col min="12" max="12" width="17.7109375" customWidth="1"/>
    <col min="13" max="13" width="23.42578125" customWidth="1"/>
    <col min="15" max="15" width="8.85546875" customWidth="1"/>
    <col min="16" max="16" width="11.28515625" customWidth="1"/>
    <col min="17" max="17" width="11.42578125" hidden="1" customWidth="1"/>
  </cols>
  <sheetData>
    <row r="1" spans="1:17">
      <c r="A1" s="328"/>
      <c r="B1" s="273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5"/>
      <c r="O1" s="233"/>
      <c r="P1" s="233"/>
    </row>
    <row r="2" spans="1:17">
      <c r="A2" s="328"/>
      <c r="B2" s="271"/>
      <c r="C2" s="238" t="s">
        <v>49</v>
      </c>
      <c r="D2" s="603" t="str">
        <f>'Cálculo de consumo'!E2</f>
        <v>Prueba</v>
      </c>
      <c r="E2" s="603"/>
      <c r="F2" s="603"/>
      <c r="G2" s="355"/>
      <c r="H2" s="324" t="s">
        <v>50</v>
      </c>
      <c r="I2" s="238"/>
      <c r="J2" s="603" t="str">
        <f>'Cálculo de consumo'!J2</f>
        <v>Prueba</v>
      </c>
      <c r="K2" s="603"/>
      <c r="L2" s="603"/>
      <c r="M2" s="271"/>
      <c r="N2" s="328"/>
      <c r="O2" s="233"/>
      <c r="P2" s="233"/>
    </row>
    <row r="3" spans="1:17">
      <c r="A3" s="328"/>
      <c r="B3" s="271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72"/>
      <c r="O3" s="233"/>
      <c r="P3" s="233"/>
    </row>
    <row r="4" spans="1:17">
      <c r="A4" s="328"/>
      <c r="B4" s="271"/>
      <c r="C4" s="238" t="s">
        <v>51</v>
      </c>
      <c r="D4" s="603" t="str">
        <f>'Cálculo de consumo'!E4</f>
        <v>Prueba</v>
      </c>
      <c r="E4" s="603"/>
      <c r="F4" s="603"/>
      <c r="G4" s="271"/>
      <c r="H4" s="324" t="s">
        <v>52</v>
      </c>
      <c r="I4" s="238"/>
      <c r="J4" s="605" t="str">
        <f>'Cálculo de consumo'!J4</f>
        <v>Prueba</v>
      </c>
      <c r="K4" s="605"/>
      <c r="L4" s="605"/>
      <c r="M4" s="271"/>
      <c r="N4" s="328"/>
      <c r="O4" s="233"/>
      <c r="P4" s="233"/>
    </row>
    <row r="5" spans="1:17" ht="20.25">
      <c r="A5" s="328"/>
      <c r="B5" s="271"/>
      <c r="C5" s="322" t="s">
        <v>162</v>
      </c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72"/>
      <c r="O5" s="233"/>
      <c r="P5" s="233"/>
    </row>
    <row r="6" spans="1:17" ht="13.5" thickBot="1">
      <c r="A6" s="328"/>
      <c r="B6" s="271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72"/>
      <c r="O6" s="233"/>
      <c r="P6" s="233"/>
    </row>
    <row r="7" spans="1:17" ht="19.5" outlineLevel="1" thickBot="1">
      <c r="A7" s="328"/>
      <c r="B7" s="271"/>
      <c r="C7" s="598" t="s">
        <v>483</v>
      </c>
      <c r="D7" s="599"/>
      <c r="E7" s="599"/>
      <c r="F7" s="599"/>
      <c r="G7" s="599"/>
      <c r="H7" s="599"/>
      <c r="I7" s="599"/>
      <c r="J7" s="600"/>
      <c r="K7" s="318"/>
      <c r="L7" s="555" t="s">
        <v>441</v>
      </c>
      <c r="M7" s="555"/>
      <c r="N7" s="425"/>
      <c r="O7" s="233"/>
      <c r="P7" s="233"/>
      <c r="Q7" s="494">
        <f>'Regulador de carga'!G25</f>
        <v>1</v>
      </c>
    </row>
    <row r="8" spans="1:17" ht="43.5" customHeight="1" outlineLevel="1" thickBot="1">
      <c r="A8" s="328"/>
      <c r="B8" s="271"/>
      <c r="C8" s="341" t="s">
        <v>166</v>
      </c>
      <c r="D8" s="347" t="s">
        <v>211</v>
      </c>
      <c r="E8" s="343" t="s">
        <v>163</v>
      </c>
      <c r="F8" s="348"/>
      <c r="G8" s="349" t="s">
        <v>174</v>
      </c>
      <c r="H8" s="350" t="s">
        <v>172</v>
      </c>
      <c r="I8" s="351" t="s">
        <v>490</v>
      </c>
      <c r="J8" s="342" t="s">
        <v>491</v>
      </c>
      <c r="K8" s="238"/>
      <c r="L8" s="519" t="str">
        <f>IF($Q$7&gt;1,"CADA COMPONENTE DE PROTECCIÓN ES NECESARIO PARA CADA SUBCAMPO","")</f>
        <v/>
      </c>
      <c r="M8" s="314"/>
      <c r="N8" s="272"/>
      <c r="O8" s="233"/>
      <c r="P8" s="233"/>
    </row>
    <row r="9" spans="1:17" ht="15.95" customHeight="1" outlineLevel="1">
      <c r="A9" s="328"/>
      <c r="B9" s="271"/>
      <c r="C9" s="648">
        <f>'Regulador de carga'!D25/'Regulador de carga'!G25</f>
        <v>521.55000000000007</v>
      </c>
      <c r="D9" s="648">
        <f>C9*1.25</f>
        <v>651.93750000000011</v>
      </c>
      <c r="E9" s="649">
        <f>'Dimensionado PV'!H22</f>
        <v>74.400000000000006</v>
      </c>
      <c r="F9" s="332" t="s">
        <v>487</v>
      </c>
      <c r="G9" s="344">
        <f>D9*1.25</f>
        <v>814.92187500000011</v>
      </c>
      <c r="H9" s="344">
        <f>G9</f>
        <v>814.92187500000011</v>
      </c>
      <c r="I9" s="334"/>
      <c r="J9" s="334"/>
      <c r="K9" s="238"/>
      <c r="L9" s="357" t="str">
        <f>IF(AND(I9&lt;G9,J9&lt;G9),"COMPONENTE DE PROTECCIÓN INCORRECTO","")</f>
        <v>COMPONENTE DE PROTECCIÓN INCORRECTO</v>
      </c>
      <c r="M9" s="314"/>
      <c r="N9" s="272"/>
      <c r="O9" s="233"/>
      <c r="P9" s="233"/>
    </row>
    <row r="10" spans="1:17" ht="15.95" customHeight="1" outlineLevel="1">
      <c r="A10" s="328"/>
      <c r="B10" s="271"/>
      <c r="C10" s="649"/>
      <c r="D10" s="649"/>
      <c r="E10" s="649"/>
      <c r="F10" s="332" t="s">
        <v>235</v>
      </c>
      <c r="G10" s="321">
        <f>E9</f>
        <v>74.400000000000006</v>
      </c>
      <c r="H10" s="321">
        <f>G10</f>
        <v>74.400000000000006</v>
      </c>
      <c r="I10" s="303"/>
      <c r="J10" s="303"/>
      <c r="K10" s="238"/>
      <c r="L10" s="357" t="str">
        <f>IF(AND(I10&lt;G10,J10&lt;G10),"COMPONENTE DE PROTECCIÓN INCORRECTO","")</f>
        <v>COMPONENTE DE PROTECCIÓN INCORRECTO</v>
      </c>
      <c r="M10" s="314"/>
      <c r="N10" s="272"/>
      <c r="O10" s="233"/>
      <c r="P10" s="233"/>
    </row>
    <row r="11" spans="1:17" ht="15.95" customHeight="1" outlineLevel="1" thickBot="1">
      <c r="A11" s="328"/>
      <c r="B11" s="271"/>
      <c r="C11" s="650"/>
      <c r="D11" s="650"/>
      <c r="E11" s="649"/>
      <c r="F11" s="345" t="s">
        <v>44</v>
      </c>
      <c r="G11" s="641"/>
      <c r="H11" s="642"/>
      <c r="I11" s="642"/>
      <c r="J11" s="643"/>
      <c r="K11" s="238"/>
      <c r="L11" s="358"/>
      <c r="M11" s="359"/>
      <c r="N11" s="272"/>
      <c r="O11" s="233"/>
      <c r="P11" s="233"/>
    </row>
    <row r="12" spans="1:17" ht="19.5" thickBot="1">
      <c r="A12" s="328"/>
      <c r="B12" s="271"/>
      <c r="C12" s="598" t="s">
        <v>484</v>
      </c>
      <c r="D12" s="599"/>
      <c r="E12" s="599"/>
      <c r="F12" s="599"/>
      <c r="G12" s="599"/>
      <c r="H12" s="599"/>
      <c r="I12" s="599"/>
      <c r="J12" s="600"/>
      <c r="K12" s="318"/>
      <c r="L12" s="555" t="s">
        <v>441</v>
      </c>
      <c r="M12" s="555"/>
      <c r="N12" s="272"/>
      <c r="O12" s="233"/>
      <c r="P12" s="233"/>
    </row>
    <row r="13" spans="1:17" ht="50.1" customHeight="1" outlineLevel="1" thickBot="1">
      <c r="A13" s="328"/>
      <c r="B13" s="271"/>
      <c r="C13" s="341" t="s">
        <v>212</v>
      </c>
      <c r="D13" s="347" t="s">
        <v>213</v>
      </c>
      <c r="E13" s="343" t="s">
        <v>173</v>
      </c>
      <c r="F13" s="348"/>
      <c r="G13" s="349" t="s">
        <v>174</v>
      </c>
      <c r="H13" s="350" t="s">
        <v>172</v>
      </c>
      <c r="I13" s="351" t="s">
        <v>490</v>
      </c>
      <c r="J13" s="342" t="s">
        <v>491</v>
      </c>
      <c r="K13" s="238"/>
      <c r="L13" s="518" t="str">
        <f>IF(C14=0,"",IF($Q$7&gt;1,"CADA COMPONENTE DE PROTECCIÓN ES NECESARIO PARA CADA SUBCAMPO",""))</f>
        <v/>
      </c>
      <c r="M13" s="314"/>
      <c r="N13" s="272"/>
      <c r="O13" s="233"/>
      <c r="P13" s="233"/>
    </row>
    <row r="14" spans="1:17" ht="15.75" outlineLevel="1">
      <c r="A14" s="328"/>
      <c r="B14" s="271"/>
      <c r="C14" s="648">
        <f>IF('Intensidad y Ángulo incli.'!O20=2,'Intensidad y Ángulo incli.'!E13,IF('Cálculo de consumo'!D34=0,0,('Cálculo de consumo'!D34/'Cálculo de consumo'!F34)/'Regulador de carga'!G25))</f>
        <v>0</v>
      </c>
      <c r="D14" s="648">
        <f>C14*1.25</f>
        <v>0</v>
      </c>
      <c r="E14" s="644">
        <f>IF('Intensidad y Ángulo incli.'!$O$20=2,'Intensidad y Ángulo incli.'!$E$10,'Cálculo de consumo'!$F$34)</f>
        <v>48</v>
      </c>
      <c r="F14" s="332" t="s">
        <v>487</v>
      </c>
      <c r="G14" s="344">
        <f>D14*1.25</f>
        <v>0</v>
      </c>
      <c r="H14" s="344">
        <f>G14</f>
        <v>0</v>
      </c>
      <c r="I14" s="334"/>
      <c r="J14" s="334"/>
      <c r="K14" s="238"/>
      <c r="L14" s="357" t="str">
        <f>IF(AND(I14&lt;G14,J14&lt;G14),"COMPONENTE DE PROTECCIÓN INCORRECTO","")</f>
        <v/>
      </c>
      <c r="M14" s="314"/>
      <c r="N14" s="272"/>
      <c r="O14" s="233"/>
      <c r="P14" s="233"/>
    </row>
    <row r="15" spans="1:17" ht="15.75" outlineLevel="1">
      <c r="A15" s="328"/>
      <c r="B15" s="271"/>
      <c r="C15" s="649"/>
      <c r="D15" s="649"/>
      <c r="E15" s="644">
        <f>IF('Intensidad y Ángulo incli.'!$O$20=2,'Intensidad y Ángulo incli.'!$E$10,'Cálculo de consumo'!$F$34)</f>
        <v>48</v>
      </c>
      <c r="F15" s="332" t="s">
        <v>235</v>
      </c>
      <c r="G15" s="321">
        <f>E14</f>
        <v>48</v>
      </c>
      <c r="H15" s="321">
        <f>G15</f>
        <v>48</v>
      </c>
      <c r="I15" s="303"/>
      <c r="J15" s="303"/>
      <c r="K15" s="238"/>
      <c r="L15" s="357" t="str">
        <f>IF(C14=0,"",IF(AND(I15&lt;G15,J15&lt;G15),"COMPONENTE DE PROTECCIÓN INCORRECTO",""))</f>
        <v/>
      </c>
      <c r="M15" s="314"/>
      <c r="N15" s="272"/>
      <c r="O15" s="233"/>
      <c r="P15" s="233"/>
    </row>
    <row r="16" spans="1:17" ht="15.75" outlineLevel="1" thickBot="1">
      <c r="A16" s="328"/>
      <c r="B16" s="271"/>
      <c r="C16" s="650"/>
      <c r="D16" s="650"/>
      <c r="E16" s="644">
        <f>IF('Intensidad y Ángulo incli.'!$O$20=2,'Intensidad y Ángulo incli.'!$E$10,'Cálculo de consumo'!$F$34)</f>
        <v>48</v>
      </c>
      <c r="F16" s="345" t="s">
        <v>44</v>
      </c>
      <c r="G16" s="641"/>
      <c r="H16" s="642"/>
      <c r="I16" s="642"/>
      <c r="J16" s="643"/>
      <c r="K16" s="238"/>
      <c r="L16" s="358"/>
      <c r="M16" s="359"/>
      <c r="N16" s="272"/>
      <c r="O16" s="233"/>
      <c r="P16" s="233"/>
    </row>
    <row r="17" spans="1:16" ht="18.75" customHeight="1" thickBot="1">
      <c r="A17" s="328"/>
      <c r="B17" s="271"/>
      <c r="C17" s="598" t="s">
        <v>175</v>
      </c>
      <c r="D17" s="599"/>
      <c r="E17" s="599"/>
      <c r="F17" s="599"/>
      <c r="G17" s="599"/>
      <c r="H17" s="599"/>
      <c r="I17" s="599"/>
      <c r="J17" s="600"/>
      <c r="K17" s="318"/>
      <c r="L17" s="555" t="s">
        <v>441</v>
      </c>
      <c r="M17" s="555"/>
      <c r="N17" s="272"/>
      <c r="O17" s="233"/>
      <c r="P17" s="233"/>
    </row>
    <row r="18" spans="1:16" ht="52.5" customHeight="1" outlineLevel="1" thickBot="1">
      <c r="A18" s="328"/>
      <c r="B18" s="271"/>
      <c r="C18" s="341" t="s">
        <v>176</v>
      </c>
      <c r="D18" s="347" t="s">
        <v>177</v>
      </c>
      <c r="E18" s="343" t="s">
        <v>173</v>
      </c>
      <c r="F18" s="348"/>
      <c r="G18" s="349" t="s">
        <v>174</v>
      </c>
      <c r="H18" s="350" t="s">
        <v>172</v>
      </c>
      <c r="I18" s="351" t="s">
        <v>490</v>
      </c>
      <c r="J18" s="342" t="s">
        <v>491</v>
      </c>
      <c r="K18" s="238"/>
      <c r="L18" s="518" t="str">
        <f>IF(C19=0,"",IF($Q$7&gt;1,"CADA COMPONENTE DE PROTECCIÓN ES NECESARIO PARA CADA SUBCAMPO",""))</f>
        <v/>
      </c>
      <c r="M18" s="314"/>
      <c r="N18" s="272"/>
      <c r="O18" s="233"/>
      <c r="P18" s="233"/>
    </row>
    <row r="19" spans="1:16" ht="12.75" customHeight="1" outlineLevel="1">
      <c r="A19" s="328"/>
      <c r="B19" s="271"/>
      <c r="C19" s="648">
        <f>IF('Intensidad y Ángulo incli.'!O20=2,'Intensidad y Ángulo incli.'!E16,IF('Acon.de potencia'!H14=0,0,('Acon.de potencia'!H14)))</f>
        <v>1200</v>
      </c>
      <c r="D19" s="648">
        <f>IF('Acon.de potencia'!D16=0,0,'Acon.de potencia'!D16)</f>
        <v>0.9</v>
      </c>
      <c r="E19" s="644">
        <f>IF('Cálculo de consumo'!K12=0,0,'Acon.de potencia'!H12)</f>
        <v>48</v>
      </c>
      <c r="F19" s="332" t="s">
        <v>488</v>
      </c>
      <c r="G19" s="344">
        <f>IF(E19=0,0,C19/(D19*E19))*1.25</f>
        <v>34.722222222222221</v>
      </c>
      <c r="H19" s="344">
        <f>G19</f>
        <v>34.722222222222221</v>
      </c>
      <c r="I19" s="334"/>
      <c r="J19" s="334"/>
      <c r="K19" s="238"/>
      <c r="L19" s="357" t="str">
        <f>IF(AND(I19&lt;G19,J19&lt;G19),"COMPONENTE DE PROTECCIÓN INCORRECTO","")</f>
        <v>COMPONENTE DE PROTECCIÓN INCORRECTO</v>
      </c>
      <c r="M19" s="360" t="str">
        <f>IF($I$19&lt;($G$19*1.5),"TENED EN CUENTA QUE LOS PICOS MAX. DE ARRANQUE","")</f>
        <v>TENED EN CUENTA QUE LOS PICOS MAX. DE ARRANQUE</v>
      </c>
      <c r="N19" s="272"/>
      <c r="O19" s="233"/>
      <c r="P19" s="233"/>
    </row>
    <row r="20" spans="1:16" ht="13.5" customHeight="1" outlineLevel="1">
      <c r="A20" s="328"/>
      <c r="B20" s="271"/>
      <c r="C20" s="649"/>
      <c r="D20" s="649"/>
      <c r="E20" s="644"/>
      <c r="F20" s="332" t="s">
        <v>165</v>
      </c>
      <c r="G20" s="321">
        <f>E19</f>
        <v>48</v>
      </c>
      <c r="H20" s="321">
        <f>G20</f>
        <v>48</v>
      </c>
      <c r="I20" s="303"/>
      <c r="J20" s="303"/>
      <c r="K20" s="238"/>
      <c r="L20" s="357" t="str">
        <f>IF(AND(I20&lt;G20,J20&lt;G20),"COMPONENTE DE PROTECCIÓN INCORRECTO","")</f>
        <v>COMPONENTE DE PROTECCIÓN INCORRECTO</v>
      </c>
      <c r="M20" s="360" t="str">
        <f>IF($I$19&lt;($G$19*1.5),"DEL INVERSOR PUEDEN LLEGAR AL 300% Pn","")</f>
        <v>DEL INVERSOR PUEDEN LLEGAR AL 300% Pn</v>
      </c>
      <c r="N20" s="272"/>
      <c r="O20" s="233"/>
      <c r="P20" s="233"/>
    </row>
    <row r="21" spans="1:16" ht="15.75" outlineLevel="1" thickBot="1">
      <c r="A21" s="328"/>
      <c r="B21" s="271"/>
      <c r="C21" s="650"/>
      <c r="D21" s="650"/>
      <c r="E21" s="644"/>
      <c r="F21" s="345" t="s">
        <v>44</v>
      </c>
      <c r="G21" s="641"/>
      <c r="H21" s="642"/>
      <c r="I21" s="642"/>
      <c r="J21" s="643"/>
      <c r="K21" s="238"/>
      <c r="L21" s="358"/>
      <c r="M21" s="359"/>
      <c r="N21" s="272"/>
      <c r="O21" s="233"/>
      <c r="P21" s="233"/>
    </row>
    <row r="22" spans="1:16" ht="19.5" thickBot="1">
      <c r="A22" s="328"/>
      <c r="B22" s="271"/>
      <c r="C22" s="598" t="s">
        <v>180</v>
      </c>
      <c r="D22" s="599"/>
      <c r="E22" s="599"/>
      <c r="F22" s="599"/>
      <c r="G22" s="599"/>
      <c r="H22" s="599"/>
      <c r="I22" s="599"/>
      <c r="J22" s="600"/>
      <c r="K22" s="318"/>
      <c r="L22" s="555" t="s">
        <v>441</v>
      </c>
      <c r="M22" s="555"/>
      <c r="N22" s="272"/>
      <c r="O22" s="233"/>
      <c r="P22" s="233"/>
    </row>
    <row r="23" spans="1:16" ht="45.75" customHeight="1" outlineLevel="1" thickBot="1">
      <c r="A23" s="328"/>
      <c r="B23" s="271"/>
      <c r="C23" s="341" t="s">
        <v>506</v>
      </c>
      <c r="D23" s="347" t="s">
        <v>181</v>
      </c>
      <c r="E23" s="343" t="s">
        <v>182</v>
      </c>
      <c r="F23" s="348"/>
      <c r="G23" s="349" t="s">
        <v>485</v>
      </c>
      <c r="H23" s="353" t="s">
        <v>512</v>
      </c>
      <c r="I23" s="351" t="s">
        <v>486</v>
      </c>
      <c r="J23" s="353" t="s">
        <v>513</v>
      </c>
      <c r="K23" s="238"/>
      <c r="L23" s="519" t="str">
        <f>IF(C24=0,"",IF($Q$7&gt;1,"CADA COMPONENTE DE PROTECCIÓN ES NECESARIO PARA CADA SUBCAMPO",""))</f>
        <v/>
      </c>
      <c r="M23" s="314"/>
      <c r="N23" s="272"/>
      <c r="O23" s="233"/>
      <c r="P23" s="233"/>
    </row>
    <row r="24" spans="1:16" ht="15.75" outlineLevel="1">
      <c r="A24" s="328"/>
      <c r="B24" s="271"/>
      <c r="C24" s="648">
        <f>IF('Intensidad y Ángulo incli.'!O20=2,'Intensidad y Ángulo incli.'!E16/'Intensidad y Ángulo incli.'!E10,IF(OR('Cálculo de consumo'!E34=0,'Acon.de potencia'!H13=0),"",('Cálculo de consumo'!E34/'Acon.de potencia'!J16)/'Acon.de potencia'!H13))</f>
        <v>7.0391304347826091</v>
      </c>
      <c r="D24" s="648">
        <f>C24*1.25</f>
        <v>8.7989130434782616</v>
      </c>
      <c r="E24" s="644">
        <f>IF('Acon.de potencia'!H13=0,"",'Acon.de potencia'!H13)</f>
        <v>230</v>
      </c>
      <c r="F24" s="332" t="s">
        <v>488</v>
      </c>
      <c r="G24" s="344">
        <f>D24*1.25</f>
        <v>10.998641304347828</v>
      </c>
      <c r="H24" s="344">
        <f>G24</f>
        <v>10.998641304347828</v>
      </c>
      <c r="I24" s="334"/>
      <c r="J24" s="334"/>
      <c r="K24" s="238"/>
      <c r="L24" s="357" t="str">
        <f>IF(AND(I24&lt;G24,J24&lt;G24),"COMPONENTE DE PROTECCIÓN INCORRECTO","")</f>
        <v>COMPONENTE DE PROTECCIÓN INCORRECTO</v>
      </c>
      <c r="M24" s="314"/>
      <c r="N24" s="272"/>
      <c r="O24" s="233"/>
      <c r="P24" s="233"/>
    </row>
    <row r="25" spans="1:16" ht="15.75" outlineLevel="1">
      <c r="A25" s="328"/>
      <c r="B25" s="271"/>
      <c r="C25" s="649"/>
      <c r="D25" s="649"/>
      <c r="E25" s="644"/>
      <c r="F25" s="332" t="s">
        <v>165</v>
      </c>
      <c r="G25" s="321">
        <f>E24</f>
        <v>230</v>
      </c>
      <c r="H25" s="321">
        <f>G25</f>
        <v>230</v>
      </c>
      <c r="I25" s="303"/>
      <c r="J25" s="303"/>
      <c r="K25" s="238"/>
      <c r="L25" s="357" t="str">
        <f>IF(AND(I25&lt;G25,J25&lt;G25),"COMPONENTE DE PROTECCIÓN INCORRECTO","")</f>
        <v>COMPONENTE DE PROTECCIÓN INCORRECTO</v>
      </c>
      <c r="M25" s="314"/>
      <c r="N25" s="272"/>
      <c r="O25" s="233"/>
      <c r="P25" s="233"/>
    </row>
    <row r="26" spans="1:16" ht="15.75" outlineLevel="1" thickBot="1">
      <c r="A26" s="328"/>
      <c r="B26" s="271"/>
      <c r="C26" s="650"/>
      <c r="D26" s="650"/>
      <c r="E26" s="644"/>
      <c r="F26" s="345" t="s">
        <v>489</v>
      </c>
      <c r="G26" s="352"/>
      <c r="H26" s="352"/>
      <c r="I26" s="346"/>
      <c r="J26" s="352"/>
      <c r="K26" s="238"/>
      <c r="L26" s="358"/>
      <c r="M26" s="359"/>
      <c r="N26" s="272"/>
      <c r="O26" s="233"/>
      <c r="P26" s="233"/>
    </row>
    <row r="27" spans="1:16" ht="19.5" thickBot="1">
      <c r="A27" s="328"/>
      <c r="B27" s="271"/>
      <c r="C27" s="598" t="s">
        <v>183</v>
      </c>
      <c r="D27" s="599"/>
      <c r="E27" s="599"/>
      <c r="F27" s="599"/>
      <c r="G27" s="599"/>
      <c r="H27" s="599"/>
      <c r="I27" s="599"/>
      <c r="J27" s="600"/>
      <c r="K27" s="318"/>
      <c r="L27" s="555" t="s">
        <v>441</v>
      </c>
      <c r="M27" s="555"/>
      <c r="N27" s="272"/>
      <c r="O27" s="233"/>
      <c r="P27" s="233"/>
    </row>
    <row r="28" spans="1:16" ht="45.75" customHeight="1" outlineLevel="1" thickBot="1">
      <c r="A28" s="328"/>
      <c r="B28" s="271"/>
      <c r="C28" s="224" t="s">
        <v>417</v>
      </c>
      <c r="D28" s="347" t="s">
        <v>418</v>
      </c>
      <c r="E28" s="224" t="s">
        <v>419</v>
      </c>
      <c r="F28" s="348"/>
      <c r="G28" s="349" t="s">
        <v>174</v>
      </c>
      <c r="H28" s="350" t="s">
        <v>172</v>
      </c>
      <c r="I28" s="351" t="s">
        <v>490</v>
      </c>
      <c r="J28" s="342" t="s">
        <v>491</v>
      </c>
      <c r="K28" s="238"/>
      <c r="L28" s="518" t="str">
        <f>IF($Q$7&gt;1,"CADA COMPONENTE DE PROTECCIÓN ES NECESARIO PARA CADA SUBCAMPO","")</f>
        <v/>
      </c>
      <c r="M28" s="314"/>
      <c r="N28" s="272"/>
      <c r="O28" s="233"/>
      <c r="P28" s="233"/>
    </row>
    <row r="29" spans="1:16" ht="15.75" outlineLevel="1">
      <c r="A29" s="328"/>
      <c r="B29" s="271"/>
      <c r="C29" s="651"/>
      <c r="D29" s="648">
        <f>C29*1.25</f>
        <v>0</v>
      </c>
      <c r="E29" s="651"/>
      <c r="F29" s="332" t="s">
        <v>164</v>
      </c>
      <c r="G29" s="344">
        <f>D29*1.25</f>
        <v>0</v>
      </c>
      <c r="H29" s="344">
        <f>G29</f>
        <v>0</v>
      </c>
      <c r="I29" s="334">
        <v>19</v>
      </c>
      <c r="J29" s="334"/>
      <c r="K29" s="238"/>
      <c r="L29" s="357" t="str">
        <f>IF(AND(I29&lt;G29,J29&lt;G29),"COMPONENTE DE PROTECCIÓN INCORRECTO","")</f>
        <v/>
      </c>
      <c r="M29" s="314"/>
      <c r="N29" s="272"/>
      <c r="O29" s="233"/>
      <c r="P29" s="233"/>
    </row>
    <row r="30" spans="1:16" ht="15.75" outlineLevel="1">
      <c r="A30" s="328"/>
      <c r="B30" s="271"/>
      <c r="C30" s="646"/>
      <c r="D30" s="649"/>
      <c r="E30" s="646"/>
      <c r="F30" s="332" t="s">
        <v>165</v>
      </c>
      <c r="G30" s="321">
        <f>E29</f>
        <v>0</v>
      </c>
      <c r="H30" s="321">
        <f>G30</f>
        <v>0</v>
      </c>
      <c r="I30" s="303">
        <v>24</v>
      </c>
      <c r="J30" s="303"/>
      <c r="K30" s="238"/>
      <c r="L30" s="357" t="str">
        <f>IF(AND(I30&lt;G30,J30&lt;G30),"COMPONENTE DE PROTECCIÓN INCORRECTO","")</f>
        <v/>
      </c>
      <c r="M30" s="314"/>
      <c r="N30" s="272"/>
      <c r="O30" s="233"/>
      <c r="P30" s="233"/>
    </row>
    <row r="31" spans="1:16" ht="16.5" customHeight="1" outlineLevel="1" thickBot="1">
      <c r="A31" s="328"/>
      <c r="B31" s="271"/>
      <c r="C31" s="646"/>
      <c r="D31" s="649"/>
      <c r="E31" s="646"/>
      <c r="F31" s="332" t="s">
        <v>44</v>
      </c>
      <c r="G31" s="641"/>
      <c r="H31" s="642"/>
      <c r="I31" s="642"/>
      <c r="J31" s="643"/>
      <c r="K31" s="238"/>
      <c r="L31" s="238"/>
      <c r="M31" s="238"/>
      <c r="N31" s="272"/>
      <c r="O31" s="233"/>
      <c r="P31" s="233"/>
    </row>
    <row r="32" spans="1:16" ht="15.75" outlineLevel="1">
      <c r="A32" s="328"/>
      <c r="B32" s="271"/>
      <c r="C32" s="645"/>
      <c r="D32" s="652">
        <f t="shared" ref="D32" si="0">C32*1.25</f>
        <v>0</v>
      </c>
      <c r="E32" s="645"/>
      <c r="F32" s="332" t="s">
        <v>164</v>
      </c>
      <c r="G32" s="344">
        <f>D32*1.25</f>
        <v>0</v>
      </c>
      <c r="H32" s="344">
        <f>G32</f>
        <v>0</v>
      </c>
      <c r="I32" s="334"/>
      <c r="J32" s="334"/>
      <c r="K32" s="238"/>
      <c r="L32" s="357" t="str">
        <f>IF(AND(I32&lt;G32,J32&lt;G32),"COMPONENTE DE PROTECCIÓN INCORRECTO","")</f>
        <v/>
      </c>
      <c r="M32" s="314"/>
      <c r="N32" s="272"/>
      <c r="O32" s="233"/>
      <c r="P32" s="233"/>
    </row>
    <row r="33" spans="1:16" ht="15.75" outlineLevel="1">
      <c r="A33" s="328"/>
      <c r="B33" s="271"/>
      <c r="C33" s="646"/>
      <c r="D33" s="652"/>
      <c r="E33" s="646"/>
      <c r="F33" s="332" t="s">
        <v>165</v>
      </c>
      <c r="G33" s="321">
        <f>E32</f>
        <v>0</v>
      </c>
      <c r="H33" s="321">
        <f>G33</f>
        <v>0</v>
      </c>
      <c r="I33" s="303"/>
      <c r="J33" s="303"/>
      <c r="K33" s="238"/>
      <c r="L33" s="357" t="str">
        <f>IF(AND(I33&lt;G33,J33&lt;G33),"COMPONENTE DE PROTECCIÓN INCORRECTO","")</f>
        <v/>
      </c>
      <c r="M33" s="314"/>
      <c r="N33" s="272"/>
      <c r="O33" s="233"/>
      <c r="P33" s="233"/>
    </row>
    <row r="34" spans="1:16" ht="15.75" customHeight="1" outlineLevel="1" thickBot="1">
      <c r="A34" s="328"/>
      <c r="B34" s="271"/>
      <c r="C34" s="647"/>
      <c r="D34" s="652"/>
      <c r="E34" s="647"/>
      <c r="F34" s="332" t="s">
        <v>44</v>
      </c>
      <c r="G34" s="641"/>
      <c r="H34" s="642"/>
      <c r="I34" s="642"/>
      <c r="J34" s="643"/>
      <c r="K34" s="238"/>
      <c r="L34" s="238"/>
      <c r="M34" s="238"/>
      <c r="N34" s="272"/>
      <c r="O34" s="233"/>
      <c r="P34" s="233"/>
    </row>
    <row r="35" spans="1:16" ht="15.75" outlineLevel="1">
      <c r="A35" s="328"/>
      <c r="B35" s="271"/>
      <c r="C35" s="645"/>
      <c r="D35" s="649">
        <f t="shared" ref="D35" si="1">C35*1.25</f>
        <v>0</v>
      </c>
      <c r="E35" s="645"/>
      <c r="F35" s="332" t="s">
        <v>164</v>
      </c>
      <c r="G35" s="344">
        <f>D35*1.25</f>
        <v>0</v>
      </c>
      <c r="H35" s="344">
        <f>G35</f>
        <v>0</v>
      </c>
      <c r="I35" s="334"/>
      <c r="J35" s="334"/>
      <c r="K35" s="238"/>
      <c r="L35" s="357" t="str">
        <f>IF(AND(I35&lt;G35,J35&lt;G35),"COMPONENTE DE PROTECCIÓN INCORRECTO","")</f>
        <v/>
      </c>
      <c r="M35" s="314"/>
      <c r="N35" s="272"/>
      <c r="O35" s="233"/>
      <c r="P35" s="233"/>
    </row>
    <row r="36" spans="1:16" ht="15.75" outlineLevel="1">
      <c r="A36" s="328"/>
      <c r="B36" s="271"/>
      <c r="C36" s="646"/>
      <c r="D36" s="649"/>
      <c r="E36" s="646"/>
      <c r="F36" s="332" t="s">
        <v>165</v>
      </c>
      <c r="G36" s="321">
        <f>E35</f>
        <v>0</v>
      </c>
      <c r="H36" s="321">
        <f>G36</f>
        <v>0</v>
      </c>
      <c r="I36" s="303"/>
      <c r="J36" s="303"/>
      <c r="K36" s="238"/>
      <c r="L36" s="357" t="str">
        <f>IF(AND(I36&lt;G36,J36&lt;G36),"COMPONENTE DE PROTECCIÓN INCORRECTO","")</f>
        <v/>
      </c>
      <c r="M36" s="314"/>
      <c r="N36" s="272"/>
      <c r="O36" s="233"/>
      <c r="P36" s="233"/>
    </row>
    <row r="37" spans="1:16" ht="15.75" customHeight="1" outlineLevel="1" thickBot="1">
      <c r="A37" s="328"/>
      <c r="B37" s="271"/>
      <c r="C37" s="647"/>
      <c r="D37" s="649"/>
      <c r="E37" s="647"/>
      <c r="F37" s="332" t="s">
        <v>44</v>
      </c>
      <c r="G37" s="641"/>
      <c r="H37" s="642"/>
      <c r="I37" s="642"/>
      <c r="J37" s="643"/>
      <c r="K37" s="238"/>
      <c r="L37" s="238"/>
      <c r="M37" s="238"/>
      <c r="N37" s="272"/>
      <c r="O37" s="233"/>
      <c r="P37" s="233"/>
    </row>
    <row r="38" spans="1:16" ht="15.75" outlineLevel="1">
      <c r="A38" s="328"/>
      <c r="B38" s="271"/>
      <c r="C38" s="645"/>
      <c r="D38" s="649">
        <f>C38*1.25</f>
        <v>0</v>
      </c>
      <c r="E38" s="645"/>
      <c r="F38" s="332" t="s">
        <v>164</v>
      </c>
      <c r="G38" s="344">
        <f>D38*1.25</f>
        <v>0</v>
      </c>
      <c r="H38" s="344">
        <f>G38</f>
        <v>0</v>
      </c>
      <c r="I38" s="334"/>
      <c r="J38" s="334"/>
      <c r="K38" s="238"/>
      <c r="L38" s="357" t="str">
        <f>IF(AND(I38&lt;G38,J38&lt;G38),"COMPONENTE DE PROTECCIÓN INCORRECTO","")</f>
        <v/>
      </c>
      <c r="M38" s="314"/>
      <c r="N38" s="272"/>
      <c r="O38" s="233"/>
      <c r="P38" s="233"/>
    </row>
    <row r="39" spans="1:16" ht="15.75" outlineLevel="1">
      <c r="A39" s="328"/>
      <c r="B39" s="271"/>
      <c r="C39" s="646"/>
      <c r="D39" s="649"/>
      <c r="E39" s="646"/>
      <c r="F39" s="332" t="s">
        <v>165</v>
      </c>
      <c r="G39" s="321">
        <f>E38</f>
        <v>0</v>
      </c>
      <c r="H39" s="321">
        <f>G39</f>
        <v>0</v>
      </c>
      <c r="I39" s="303"/>
      <c r="J39" s="303"/>
      <c r="K39" s="238"/>
      <c r="L39" s="357" t="str">
        <f>IF(AND(I39&lt;G39,J39&lt;G39),"COMPONENTE DE PROTECCIÓN INCORRECTO","")</f>
        <v/>
      </c>
      <c r="M39" s="314"/>
      <c r="N39" s="272"/>
      <c r="O39" s="233"/>
      <c r="P39" s="233"/>
    </row>
    <row r="40" spans="1:16" ht="15.75" customHeight="1" outlineLevel="1" thickBot="1">
      <c r="A40" s="328"/>
      <c r="B40" s="271"/>
      <c r="C40" s="647"/>
      <c r="D40" s="649"/>
      <c r="E40" s="647"/>
      <c r="F40" s="332" t="s">
        <v>44</v>
      </c>
      <c r="G40" s="641"/>
      <c r="H40" s="642"/>
      <c r="I40" s="642"/>
      <c r="J40" s="643"/>
      <c r="K40" s="238"/>
      <c r="L40" s="238"/>
      <c r="M40" s="238"/>
      <c r="N40" s="272"/>
      <c r="O40" s="233"/>
      <c r="P40" s="233"/>
    </row>
    <row r="41" spans="1:16" ht="13.5" thickBot="1">
      <c r="A41" s="328"/>
      <c r="B41" s="285"/>
      <c r="C41" s="288"/>
      <c r="D41" s="288"/>
      <c r="E41" s="288"/>
      <c r="F41" s="288"/>
      <c r="G41" s="288"/>
      <c r="H41" s="288"/>
      <c r="I41" s="288"/>
      <c r="J41" s="288"/>
      <c r="K41" s="288"/>
      <c r="L41" s="288"/>
      <c r="M41" s="288"/>
      <c r="N41" s="289"/>
      <c r="O41" s="233"/>
      <c r="P41" s="233"/>
    </row>
    <row r="42" spans="1:16">
      <c r="A42" s="233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</row>
    <row r="43" spans="1:16">
      <c r="A43" s="233"/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</row>
    <row r="44" spans="1:16">
      <c r="A44" s="233"/>
      <c r="B44" s="233"/>
      <c r="C44" s="233"/>
      <c r="D44" s="233"/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</row>
    <row r="45" spans="1:16">
      <c r="A45" s="233"/>
      <c r="B45" s="233"/>
      <c r="C45" s="233"/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</row>
    <row r="46" spans="1:16">
      <c r="A46" s="233"/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</row>
    <row r="47" spans="1:16">
      <c r="A47" s="233"/>
      <c r="B47" s="233"/>
      <c r="C47" s="233"/>
      <c r="D47" s="233"/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</row>
    <row r="48" spans="1:16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</row>
    <row r="49" spans="1:16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</row>
    <row r="50" spans="1:16">
      <c r="A50" s="233"/>
      <c r="B50" s="233"/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</row>
    <row r="51" spans="1:16">
      <c r="A51" s="233"/>
      <c r="B51" s="233"/>
      <c r="C51" s="233"/>
      <c r="D51" s="233"/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</row>
    <row r="52" spans="1:16">
      <c r="A52" s="233"/>
      <c r="B52" s="233"/>
      <c r="C52" s="233"/>
      <c r="D52" s="233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</row>
    <row r="53" spans="1:16">
      <c r="A53" s="233"/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</row>
    <row r="54" spans="1:16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</row>
  </sheetData>
  <protectedRanges>
    <protectedRange sqref="I9:J10 G11 I14:J15 G16 I19:J20 G21 I24:J25 G26 E29:E40 C29:C40 I29:J40 G40:H40 G31:H31 G34:H34 G37:H37" name="Desprotegida"/>
  </protectedRanges>
  <mergeCells count="45">
    <mergeCell ref="G11:J11"/>
    <mergeCell ref="L17:M17"/>
    <mergeCell ref="L22:M22"/>
    <mergeCell ref="L27:M27"/>
    <mergeCell ref="C12:J12"/>
    <mergeCell ref="E9:E11"/>
    <mergeCell ref="D9:D11"/>
    <mergeCell ref="C9:C11"/>
    <mergeCell ref="L12:M12"/>
    <mergeCell ref="G21:J21"/>
    <mergeCell ref="C19:C21"/>
    <mergeCell ref="D19:D21"/>
    <mergeCell ref="E19:E21"/>
    <mergeCell ref="C14:C16"/>
    <mergeCell ref="D14:D16"/>
    <mergeCell ref="C17:J17"/>
    <mergeCell ref="C27:J27"/>
    <mergeCell ref="C29:C31"/>
    <mergeCell ref="D29:D31"/>
    <mergeCell ref="E29:E31"/>
    <mergeCell ref="C38:C40"/>
    <mergeCell ref="D38:D40"/>
    <mergeCell ref="D32:D34"/>
    <mergeCell ref="E32:E34"/>
    <mergeCell ref="E35:E37"/>
    <mergeCell ref="C35:C37"/>
    <mergeCell ref="G40:J40"/>
    <mergeCell ref="G34:J34"/>
    <mergeCell ref="G37:J37"/>
    <mergeCell ref="G16:J16"/>
    <mergeCell ref="E14:E16"/>
    <mergeCell ref="E38:E40"/>
    <mergeCell ref="J4:L4"/>
    <mergeCell ref="J2:L2"/>
    <mergeCell ref="C7:J7"/>
    <mergeCell ref="D2:F2"/>
    <mergeCell ref="D4:F4"/>
    <mergeCell ref="L7:M7"/>
    <mergeCell ref="C24:C26"/>
    <mergeCell ref="D24:D26"/>
    <mergeCell ref="E24:E26"/>
    <mergeCell ref="C22:J22"/>
    <mergeCell ref="D35:D37"/>
    <mergeCell ref="G31:J31"/>
    <mergeCell ref="C32:C34"/>
  </mergeCells>
  <phoneticPr fontId="12" type="noConversion"/>
  <printOptions horizontalCentered="1" verticalCentered="1"/>
  <pageMargins left="0" right="0" top="0" bottom="0" header="0" footer="0"/>
  <pageSetup paperSize="9" scale="6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0">
    <pageSetUpPr fitToPage="1"/>
  </sheetPr>
  <dimension ref="A1:V35"/>
  <sheetViews>
    <sheetView showGridLines="0" topLeftCell="B1" zoomScale="80" zoomScaleNormal="75" workbookViewId="0">
      <selection activeCell="I12" sqref="I12"/>
    </sheetView>
  </sheetViews>
  <sheetFormatPr baseColWidth="10" defaultRowHeight="12.75" outlineLevelRow="1"/>
  <cols>
    <col min="1" max="1" width="6.7109375" customWidth="1"/>
    <col min="2" max="2" width="8.7109375" customWidth="1"/>
    <col min="3" max="3" width="26.28515625" customWidth="1"/>
    <col min="4" max="4" width="10.140625" customWidth="1"/>
    <col min="5" max="5" width="12.42578125" customWidth="1"/>
    <col min="6" max="6" width="11.140625" customWidth="1"/>
    <col min="7" max="8" width="10.140625" customWidth="1"/>
    <col min="9" max="9" width="11.140625" customWidth="1"/>
    <col min="10" max="10" width="15.7109375" customWidth="1"/>
    <col min="11" max="11" width="10.42578125" customWidth="1"/>
    <col min="12" max="12" width="11.28515625" customWidth="1"/>
    <col min="13" max="13" width="12.85546875" customWidth="1"/>
    <col min="14" max="14" width="12.5703125" customWidth="1"/>
    <col min="15" max="16" width="19.42578125" customWidth="1"/>
    <col min="21" max="22" width="8.7109375" customWidth="1"/>
  </cols>
  <sheetData>
    <row r="1" spans="1:22">
      <c r="A1" s="272"/>
      <c r="B1" s="273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336"/>
      <c r="R1" s="336"/>
      <c r="S1" s="336"/>
      <c r="T1" s="338"/>
      <c r="U1" s="233"/>
      <c r="V1" s="233"/>
    </row>
    <row r="2" spans="1:22">
      <c r="A2" s="272"/>
      <c r="B2" s="271"/>
      <c r="C2" s="238" t="s">
        <v>198</v>
      </c>
      <c r="D2" s="603" t="str">
        <f>'Cálculo de consumo'!E2</f>
        <v>Prueba</v>
      </c>
      <c r="E2" s="603"/>
      <c r="F2" s="603"/>
      <c r="G2" s="271"/>
      <c r="H2" s="324" t="s">
        <v>50</v>
      </c>
      <c r="I2" s="238"/>
      <c r="J2" s="603" t="str">
        <f>'Cálculo de consumo'!J2</f>
        <v>Prueba</v>
      </c>
      <c r="K2" s="603"/>
      <c r="L2" s="603"/>
      <c r="M2" s="271"/>
      <c r="N2" s="271"/>
      <c r="O2" s="238"/>
      <c r="P2" s="238"/>
      <c r="Q2" s="238"/>
      <c r="R2" s="233"/>
      <c r="S2" s="233"/>
      <c r="T2" s="272"/>
      <c r="U2" s="233"/>
      <c r="V2" s="233"/>
    </row>
    <row r="3" spans="1:22">
      <c r="A3" s="272"/>
      <c r="B3" s="271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3"/>
      <c r="S3" s="233"/>
      <c r="T3" s="272"/>
      <c r="U3" s="233"/>
      <c r="V3" s="233"/>
    </row>
    <row r="4" spans="1:22">
      <c r="A4" s="272"/>
      <c r="B4" s="271"/>
      <c r="C4" s="238" t="s">
        <v>51</v>
      </c>
      <c r="D4" s="603" t="str">
        <f>'Cálculo de consumo'!E4</f>
        <v>Prueba</v>
      </c>
      <c r="E4" s="603"/>
      <c r="F4" s="603"/>
      <c r="G4" s="271"/>
      <c r="H4" s="324" t="s">
        <v>52</v>
      </c>
      <c r="I4" s="238"/>
      <c r="J4" s="603" t="str">
        <f>'Cálculo de consumo'!J4</f>
        <v>Prueba</v>
      </c>
      <c r="K4" s="603"/>
      <c r="L4" s="603"/>
      <c r="M4" s="271"/>
      <c r="N4" s="271"/>
      <c r="O4" s="238"/>
      <c r="P4" s="238"/>
      <c r="Q4" s="238"/>
      <c r="R4" s="233"/>
      <c r="S4" s="233"/>
      <c r="T4" s="272"/>
      <c r="U4" s="233"/>
      <c r="V4" s="233"/>
    </row>
    <row r="5" spans="1:22" ht="20.25">
      <c r="A5" s="272"/>
      <c r="B5" s="271"/>
      <c r="C5" s="322" t="s">
        <v>199</v>
      </c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3"/>
      <c r="S5" s="233"/>
      <c r="T5" s="272"/>
      <c r="U5" s="233"/>
      <c r="V5" s="233"/>
    </row>
    <row r="6" spans="1:22" ht="14.25" customHeight="1" thickBot="1">
      <c r="A6" s="272"/>
      <c r="B6" s="271"/>
      <c r="C6" s="322"/>
      <c r="D6" s="238"/>
      <c r="E6" s="238"/>
      <c r="F6" s="663"/>
      <c r="G6" s="663"/>
      <c r="H6" s="238"/>
      <c r="I6" s="368"/>
      <c r="J6" s="369"/>
      <c r="K6" s="663"/>
      <c r="L6" s="663"/>
      <c r="M6" s="663"/>
      <c r="N6" s="238"/>
      <c r="O6" s="238"/>
      <c r="P6" s="238"/>
      <c r="Q6" s="238"/>
      <c r="R6" s="233"/>
      <c r="S6" s="233"/>
      <c r="T6" s="272"/>
      <c r="U6" s="233"/>
      <c r="V6" s="233"/>
    </row>
    <row r="7" spans="1:22" ht="65.25" customHeight="1">
      <c r="A7" s="272"/>
      <c r="B7" s="271"/>
      <c r="C7" s="361" t="s">
        <v>167</v>
      </c>
      <c r="D7" s="362" t="s">
        <v>168</v>
      </c>
      <c r="E7" s="362" t="s">
        <v>169</v>
      </c>
      <c r="F7" s="378" t="s">
        <v>197</v>
      </c>
      <c r="G7" s="378" t="s">
        <v>170</v>
      </c>
      <c r="H7" s="363" t="s">
        <v>171</v>
      </c>
      <c r="I7" s="378" t="s">
        <v>215</v>
      </c>
      <c r="J7" s="363" t="s">
        <v>214</v>
      </c>
      <c r="K7" s="378" t="s">
        <v>415</v>
      </c>
      <c r="L7" s="378" t="s">
        <v>184</v>
      </c>
      <c r="M7" s="378" t="s">
        <v>185</v>
      </c>
      <c r="N7" s="363" t="s">
        <v>416</v>
      </c>
      <c r="O7" s="363" t="s">
        <v>188</v>
      </c>
      <c r="P7" s="379" t="s">
        <v>216</v>
      </c>
      <c r="Q7" s="377"/>
      <c r="R7" s="555" t="s">
        <v>492</v>
      </c>
      <c r="S7" s="555"/>
      <c r="T7" s="272"/>
      <c r="U7" s="233"/>
      <c r="V7" s="233"/>
    </row>
    <row r="8" spans="1:22" ht="15">
      <c r="A8" s="272"/>
      <c r="B8" s="271"/>
      <c r="C8" s="655" t="s">
        <v>5</v>
      </c>
      <c r="D8" s="656"/>
      <c r="E8" s="656"/>
      <c r="F8" s="656"/>
      <c r="G8" s="656"/>
      <c r="H8" s="656"/>
      <c r="I8" s="656"/>
      <c r="J8" s="656"/>
      <c r="K8" s="656"/>
      <c r="L8" s="656"/>
      <c r="M8" s="656"/>
      <c r="N8" s="656"/>
      <c r="O8" s="656"/>
      <c r="P8" s="657"/>
      <c r="Q8" s="238"/>
      <c r="R8" s="505" t="str">
        <f>IF('Regulador de carga'!G25&gt;1,"RECORDAD QUE LAS DISTANCIAS SON POR CADA SUBCAMPO","")</f>
        <v/>
      </c>
      <c r="S8" s="357"/>
      <c r="T8" s="272"/>
      <c r="U8" s="233"/>
      <c r="V8" s="233"/>
    </row>
    <row r="9" spans="1:22" ht="15.75">
      <c r="A9" s="272"/>
      <c r="B9" s="271"/>
      <c r="C9" s="337" t="s">
        <v>236</v>
      </c>
      <c r="D9" s="203">
        <f>IF('Intensidad y Ángulo incli.'!$O$20=2,'Intensidad y Ángulo incli.'!$E$10,'Cálculo de consumo'!$F$34)</f>
        <v>48</v>
      </c>
      <c r="E9" s="173">
        <f>'Comp. protección'!D9</f>
        <v>651.93750000000011</v>
      </c>
      <c r="F9" s="380">
        <v>8</v>
      </c>
      <c r="G9" s="374">
        <v>1.5</v>
      </c>
      <c r="H9" s="321">
        <f>IF(G9=0,"",(200*0.0178*F9*E9)/(G9*D9))</f>
        <v>257.87750000000005</v>
      </c>
      <c r="I9" s="381">
        <v>100</v>
      </c>
      <c r="J9" s="321">
        <f>IF(I9=0,0,(200*0.0178*E9*F9)/(I9*D9))</f>
        <v>3.8681625000000008</v>
      </c>
      <c r="K9" s="380">
        <v>49</v>
      </c>
      <c r="L9" s="373">
        <v>1</v>
      </c>
      <c r="M9" s="374">
        <v>1</v>
      </c>
      <c r="N9" s="321">
        <f>K9*L9*M9</f>
        <v>49</v>
      </c>
      <c r="O9" s="321" t="str">
        <f>IF(OR(N9&lt;'Comp. protección'!I9,N9&lt;'Comp. protección'!J9),"sección incorrecta","sección correcta")</f>
        <v>sección correcta</v>
      </c>
      <c r="P9" s="321" t="str">
        <f>IF(N9&lt;=E9,"sección incorrecta","sección correcta")</f>
        <v>sección incorrecta</v>
      </c>
      <c r="Q9" s="238"/>
      <c r="R9" s="357" t="str">
        <f>IF(F9=0,"",IF(J9&gt;4,"SE RECOMIENDA INCREMENTAR LA SECCIÓN DEL CABLE",""))</f>
        <v/>
      </c>
      <c r="S9" s="357"/>
      <c r="T9" s="272"/>
      <c r="U9" s="233"/>
      <c r="V9" s="233"/>
    </row>
    <row r="10" spans="1:22" ht="15.75" hidden="1">
      <c r="A10" s="272"/>
      <c r="B10" s="271"/>
      <c r="C10" s="337" t="s">
        <v>190</v>
      </c>
      <c r="D10" s="203">
        <f>IF('Intensidad y Ángulo incli.'!$O$20=2,'Intensidad y Ángulo incli.'!$E$10,'Cálculo de consumo'!$F$34)</f>
        <v>48</v>
      </c>
      <c r="E10" s="173">
        <f>'Comp. protección'!D14</f>
        <v>0</v>
      </c>
      <c r="F10" s="364"/>
      <c r="G10" s="365"/>
      <c r="H10" s="321" t="str">
        <f>IF(G10=0,"",(200*0.0178*F10*E10)/(G10*D10))</f>
        <v/>
      </c>
      <c r="I10" s="370"/>
      <c r="J10" s="321">
        <f t="shared" ref="J10:J14" si="0">IF(I10=0,0,(200*0.0178*E10*F10)/(I10*D10))</f>
        <v>0</v>
      </c>
      <c r="K10" s="372"/>
      <c r="L10" s="373"/>
      <c r="M10" s="374"/>
      <c r="N10" s="321">
        <f>K10*L10*M10</f>
        <v>0</v>
      </c>
      <c r="O10" s="321" t="str">
        <f>IF(OR(N10&lt;'Comp. protección'!I14,N10&lt;'Comp. protección'!J14),"sección incorrecta","sección correcta")</f>
        <v>sección correcta</v>
      </c>
      <c r="P10" s="321" t="str">
        <f>IF(N10&lt;=E10,"sección incorrecta","sección correcta")</f>
        <v>sección incorrecta</v>
      </c>
      <c r="Q10" s="238"/>
      <c r="R10" s="357" t="str">
        <f>IF(F10=0,"",IF(J10&gt;4,"SE RECOMIENDA INCREMENTAR LA SECCIÓN DEL CABLE",""))</f>
        <v/>
      </c>
      <c r="S10" s="357"/>
      <c r="T10" s="272"/>
      <c r="U10" s="233"/>
      <c r="V10" s="233"/>
    </row>
    <row r="11" spans="1:22" ht="15.75">
      <c r="A11" s="272"/>
      <c r="B11" s="271"/>
      <c r="C11" s="337" t="s">
        <v>186</v>
      </c>
      <c r="D11" s="203">
        <f>IF('Intensidad y Ángulo incli.'!$O$20=2,'Intensidad y Ángulo incli.'!$E$10,'Cálculo de consumo'!$F$34)</f>
        <v>48</v>
      </c>
      <c r="E11" s="173">
        <f>IF('Cálculo de consumo'!K12=0,0,'Acon.de potencia'!H15/'Acon.de potencia'!H12)</f>
        <v>50</v>
      </c>
      <c r="F11" s="364">
        <v>2</v>
      </c>
      <c r="G11" s="366">
        <v>1.5</v>
      </c>
      <c r="H11" s="321">
        <f>IF(G11=0,"",(200*0.0178*F11*E11)/(G11*D11))</f>
        <v>4.9444444444444446</v>
      </c>
      <c r="I11" s="370">
        <v>50</v>
      </c>
      <c r="J11" s="321">
        <f t="shared" si="0"/>
        <v>0.14833333333333334</v>
      </c>
      <c r="K11" s="364">
        <v>130</v>
      </c>
      <c r="L11" s="371">
        <v>1</v>
      </c>
      <c r="M11" s="366">
        <v>1</v>
      </c>
      <c r="N11" s="321">
        <f>K11*L11*M11</f>
        <v>130</v>
      </c>
      <c r="O11" s="321" t="str">
        <f>IF(OR(N11&lt;'Comp. protección'!I19,N11&lt;'Comp. protección'!J19),"sección incorrecta","sección correcta")</f>
        <v>sección correcta</v>
      </c>
      <c r="P11" s="321" t="str">
        <f>IF(N11&lt;=E11,"sección incorrecta","sección correcta")</f>
        <v>sección correcta</v>
      </c>
      <c r="Q11" s="238"/>
      <c r="R11" s="357" t="str">
        <f>IF(F11=0,"",IF(J11&gt;4,"SE RECOMIENDA INCREMENTAR LA SECCIÓN DEL CABLE",""))</f>
        <v/>
      </c>
      <c r="S11" s="357"/>
      <c r="T11" s="272"/>
      <c r="U11" s="233"/>
      <c r="V11" s="233"/>
    </row>
    <row r="12" spans="1:22" ht="15.75">
      <c r="A12" s="272"/>
      <c r="B12" s="271"/>
      <c r="C12" s="337" t="s">
        <v>189</v>
      </c>
      <c r="D12" s="203">
        <f>IF('Intensidad y Ángulo incli.'!$O$20=2,'Intensidad y Ángulo incli.'!$E$10,'Cálculo de consumo'!$F$34)</f>
        <v>48</v>
      </c>
      <c r="E12" s="173">
        <f>E9*0.96</f>
        <v>625.86000000000013</v>
      </c>
      <c r="F12" s="382">
        <v>6</v>
      </c>
      <c r="G12" s="365">
        <v>1.5</v>
      </c>
      <c r="H12" s="321">
        <f>IF(G12=0,"",(200*0.0178*F12*E12)/(G12*D12))</f>
        <v>185.67180000000002</v>
      </c>
      <c r="I12" s="383">
        <v>75</v>
      </c>
      <c r="J12" s="321">
        <f t="shared" si="0"/>
        <v>3.7134360000000006</v>
      </c>
      <c r="K12" s="384">
        <v>49</v>
      </c>
      <c r="L12" s="385">
        <v>1</v>
      </c>
      <c r="M12" s="365">
        <v>1</v>
      </c>
      <c r="N12" s="321">
        <f>K12*L12*M12</f>
        <v>49</v>
      </c>
      <c r="O12" s="321" t="str">
        <f>IF(OR(N12&lt;'Comp. protección'!I9,N12&lt;'Comp. protección'!J9),"sección incorrecta","sección correcta")</f>
        <v>sección correcta</v>
      </c>
      <c r="P12" s="321" t="str">
        <f>IF(N12&lt;=E12,"sección incorrecta","sección correcta")</f>
        <v>sección incorrecta</v>
      </c>
      <c r="Q12" s="238"/>
      <c r="R12" s="357" t="str">
        <f>IF(F12=0,"",IF(J12&gt;4,"SE RECOMIENDA INCREMENTAR LA SECCIÓN DEL CABLE",""))</f>
        <v/>
      </c>
      <c r="S12" s="357"/>
      <c r="T12" s="272"/>
      <c r="U12" s="233"/>
      <c r="V12" s="233"/>
    </row>
    <row r="13" spans="1:22" ht="15" outlineLevel="1">
      <c r="A13" s="272"/>
      <c r="B13" s="271"/>
      <c r="C13" s="655" t="s">
        <v>4</v>
      </c>
      <c r="D13" s="656"/>
      <c r="E13" s="656"/>
      <c r="F13" s="656"/>
      <c r="G13" s="656"/>
      <c r="H13" s="656"/>
      <c r="I13" s="656"/>
      <c r="J13" s="656"/>
      <c r="K13" s="656"/>
      <c r="L13" s="656"/>
      <c r="M13" s="656"/>
      <c r="N13" s="656"/>
      <c r="O13" s="656"/>
      <c r="P13" s="657"/>
      <c r="Q13" s="238"/>
      <c r="R13" s="358"/>
      <c r="S13" s="358"/>
      <c r="T13" s="272"/>
      <c r="U13" s="233"/>
      <c r="V13" s="233"/>
    </row>
    <row r="14" spans="1:22" ht="15.75" outlineLevel="1">
      <c r="A14" s="272"/>
      <c r="B14" s="271"/>
      <c r="C14" s="337" t="s">
        <v>191</v>
      </c>
      <c r="D14" s="203">
        <f>'Comp. protección'!E24</f>
        <v>230</v>
      </c>
      <c r="E14" s="173">
        <f>'Comp. protección'!D24</f>
        <v>8.7989130434782616</v>
      </c>
      <c r="F14" s="386">
        <v>50</v>
      </c>
      <c r="G14" s="387">
        <v>2</v>
      </c>
      <c r="H14" s="321">
        <f>IF(G14=0,"",(200*0.0178*F14*E14)/(G14*D14))</f>
        <v>3.4047967863894142</v>
      </c>
      <c r="I14" s="388">
        <v>10</v>
      </c>
      <c r="J14" s="321">
        <f t="shared" si="0"/>
        <v>0.68095935727788282</v>
      </c>
      <c r="K14" s="386">
        <v>50</v>
      </c>
      <c r="L14" s="389">
        <v>1</v>
      </c>
      <c r="M14" s="387">
        <v>1</v>
      </c>
      <c r="N14" s="321">
        <f>K14*L14*M14</f>
        <v>50</v>
      </c>
      <c r="O14" s="321" t="str">
        <f>IF(OR(N14&lt;'Comp. protección'!I24,N14&lt;'Comp. protección'!J24),"sección incorrecta","sección correcta")</f>
        <v>sección correcta</v>
      </c>
      <c r="P14" s="321" t="str">
        <f>IF(N14&lt;=E14,"sección incorrecta","sección correcta")</f>
        <v>sección correcta</v>
      </c>
      <c r="Q14" s="238"/>
      <c r="R14" s="357" t="str">
        <f>IF(F14=0,"",IF(J14&gt;4,"SE RECOMIENDA INCREMENTAR LA SECCIÓN DEL CABLE",""))</f>
        <v/>
      </c>
      <c r="S14" s="357"/>
      <c r="T14" s="272"/>
      <c r="U14" s="233"/>
      <c r="V14" s="233"/>
    </row>
    <row r="15" spans="1:22" ht="15">
      <c r="A15" s="272"/>
      <c r="B15" s="271"/>
      <c r="C15" s="655" t="s">
        <v>187</v>
      </c>
      <c r="D15" s="656"/>
      <c r="E15" s="656"/>
      <c r="F15" s="656"/>
      <c r="G15" s="656"/>
      <c r="H15" s="656"/>
      <c r="I15" s="656"/>
      <c r="J15" s="656"/>
      <c r="K15" s="656"/>
      <c r="L15" s="656"/>
      <c r="M15" s="656"/>
      <c r="N15" s="656"/>
      <c r="O15" s="656"/>
      <c r="P15" s="657"/>
      <c r="Q15" s="238"/>
      <c r="R15" s="358"/>
      <c r="S15" s="358"/>
      <c r="T15" s="272"/>
      <c r="U15" s="233"/>
      <c r="V15" s="233"/>
    </row>
    <row r="16" spans="1:22" ht="15.75" outlineLevel="1">
      <c r="A16" s="272"/>
      <c r="B16" s="271"/>
      <c r="C16" s="354"/>
      <c r="D16" s="372"/>
      <c r="E16" s="373"/>
      <c r="F16" s="373"/>
      <c r="G16" s="374"/>
      <c r="H16" s="321" t="str">
        <f>IF(G16=0,"",(200*0.0178*F16*E16)/(G16*D16))</f>
        <v/>
      </c>
      <c r="I16" s="381"/>
      <c r="J16" s="321" t="str">
        <f>IF(I16=0,"",(200*0.0178*E16*F16)/(I16*D16))</f>
        <v/>
      </c>
      <c r="K16" s="380"/>
      <c r="L16" s="373"/>
      <c r="M16" s="374"/>
      <c r="N16" s="321">
        <f>K16*L16*M16</f>
        <v>0</v>
      </c>
      <c r="O16" s="321" t="str">
        <f>IF(OR(N16&lt;'Comp. protección'!I29,N16&lt;'Comp. protección'!J29),"sección incorrecta","sección correcta")</f>
        <v>sección incorrecta</v>
      </c>
      <c r="P16" s="321" t="str">
        <f>IF(N16&lt;=E16,"sección incorrecta","sección correcta")</f>
        <v>sección incorrecta</v>
      </c>
      <c r="Q16" s="238"/>
      <c r="R16" s="357" t="str">
        <f>IF(F16=0,"",IF(J16&gt;4,"SE RECOMIENDA INCREMENTAR LA SECCIÓN DEL CABLE",""))</f>
        <v/>
      </c>
      <c r="S16" s="357"/>
      <c r="T16" s="272"/>
      <c r="U16" s="233"/>
      <c r="V16" s="233"/>
    </row>
    <row r="17" spans="1:22" ht="15.75" outlineLevel="1">
      <c r="A17" s="272"/>
      <c r="B17" s="271"/>
      <c r="C17" s="354"/>
      <c r="D17" s="364"/>
      <c r="E17" s="371"/>
      <c r="F17" s="371"/>
      <c r="G17" s="366"/>
      <c r="H17" s="321" t="str">
        <f>IF(G17=0,"",(200*0.0178*F17*E17)/(G17*D17))</f>
        <v/>
      </c>
      <c r="I17" s="370"/>
      <c r="J17" s="321" t="str">
        <f>IF(I17=0,"",(200*0.0178*E17*F17)/(I17*D17))</f>
        <v/>
      </c>
      <c r="K17" s="372"/>
      <c r="L17" s="373"/>
      <c r="M17" s="374"/>
      <c r="N17" s="321">
        <f>K17*L17*M17</f>
        <v>0</v>
      </c>
      <c r="O17" s="321" t="str">
        <f>IF(OR(N17&lt;'Comp. protección'!I32,N17&lt;'Comp. protección'!J35),"sección incorrecta","sección correcta")</f>
        <v>sección correcta</v>
      </c>
      <c r="P17" s="321" t="str">
        <f>IF(N17&lt;=E17,"sección incorrecta","sección correcta")</f>
        <v>sección incorrecta</v>
      </c>
      <c r="Q17" s="238"/>
      <c r="R17" s="357" t="str">
        <f>IF(F17=0,"",IF(J17&gt;4,"SE RECOMIENDA INCREMENTAR LA SECCIÓN DEL CABLE",""))</f>
        <v/>
      </c>
      <c r="S17" s="357"/>
      <c r="T17" s="272"/>
      <c r="U17" s="233"/>
      <c r="V17" s="233"/>
    </row>
    <row r="18" spans="1:22" ht="15.75" outlineLevel="1">
      <c r="A18" s="272"/>
      <c r="B18" s="271"/>
      <c r="C18" s="354"/>
      <c r="D18" s="364"/>
      <c r="E18" s="371"/>
      <c r="F18" s="371"/>
      <c r="G18" s="366"/>
      <c r="H18" s="321" t="str">
        <f>IF(G18=0,"",(200*0.0178*F18*E18)/(G18*D18))</f>
        <v/>
      </c>
      <c r="I18" s="370"/>
      <c r="J18" s="321" t="str">
        <f>IF(I18=0,"",(200*0.0178*E18*F18)/(I18*D18))</f>
        <v/>
      </c>
      <c r="K18" s="364"/>
      <c r="L18" s="371"/>
      <c r="M18" s="366"/>
      <c r="N18" s="321">
        <f>K18*L18*M18</f>
        <v>0</v>
      </c>
      <c r="O18" s="321" t="str">
        <f>IF(OR(N18&lt;'Comp. protección'!I35,N18&lt;'Comp. protección'!J35),"sección incorrecta","sección correcta")</f>
        <v>sección correcta</v>
      </c>
      <c r="P18" s="321" t="str">
        <f>IF(N18&lt;=E18,"sección incorrecta","sección correcta")</f>
        <v>sección incorrecta</v>
      </c>
      <c r="Q18" s="238"/>
      <c r="R18" s="357" t="str">
        <f>IF(F18=0,"",IF(J18&gt;4,"SE RECOMIENDA INCREMENTAR LA SECCIÓN DEL CABLE",""))</f>
        <v/>
      </c>
      <c r="S18" s="357"/>
      <c r="T18" s="272"/>
      <c r="U18" s="233"/>
      <c r="V18" s="233"/>
    </row>
    <row r="19" spans="1:22" ht="15.75" outlineLevel="1">
      <c r="A19" s="272"/>
      <c r="B19" s="271"/>
      <c r="C19" s="354"/>
      <c r="D19" s="384"/>
      <c r="E19" s="385"/>
      <c r="F19" s="385"/>
      <c r="G19" s="365"/>
      <c r="H19" s="321" t="str">
        <f>IF(G19=0,"",(200*0.0178*F19*E19)/(G19*D19))</f>
        <v/>
      </c>
      <c r="I19" s="383"/>
      <c r="J19" s="321" t="str">
        <f>IF(I19=0,"",(200*0.0178*E19*F19)/(I19*D19))</f>
        <v/>
      </c>
      <c r="K19" s="384"/>
      <c r="L19" s="385"/>
      <c r="M19" s="365"/>
      <c r="N19" s="321">
        <f>K19*L19*M19</f>
        <v>0</v>
      </c>
      <c r="O19" s="321" t="str">
        <f>IF(OR(N19&lt;'Comp. protección'!I38,N19&lt;'Comp. protección'!J38),"sección incorrecta","sección correcta")</f>
        <v>sección correcta</v>
      </c>
      <c r="P19" s="321" t="str">
        <f>IF(N19&lt;=E19,"sección incorrecta","sección correcta")</f>
        <v>sección incorrecta</v>
      </c>
      <c r="Q19" s="238"/>
      <c r="R19" s="357" t="str">
        <f>IF(F19=0,"",IF(J19&gt;4,"SE RECOMIENDA INCREMENTAR LA SECCIÓN DEL CABLE",""))</f>
        <v/>
      </c>
      <c r="S19" s="357"/>
      <c r="T19" s="272"/>
      <c r="U19" s="233"/>
      <c r="V19" s="233"/>
    </row>
    <row r="20" spans="1:22" ht="15">
      <c r="A20" s="272"/>
      <c r="B20" s="271"/>
      <c r="C20" s="655" t="s">
        <v>196</v>
      </c>
      <c r="D20" s="656"/>
      <c r="E20" s="656"/>
      <c r="F20" s="656"/>
      <c r="G20" s="656"/>
      <c r="H20" s="656"/>
      <c r="I20" s="656"/>
      <c r="J20" s="656"/>
      <c r="K20" s="656"/>
      <c r="L20" s="656"/>
      <c r="M20" s="656"/>
      <c r="N20" s="656"/>
      <c r="O20" s="656"/>
      <c r="P20" s="657"/>
      <c r="Q20" s="238"/>
      <c r="R20" s="233"/>
      <c r="S20" s="233"/>
      <c r="T20" s="272"/>
      <c r="U20" s="233"/>
      <c r="V20" s="233"/>
    </row>
    <row r="21" spans="1:22" ht="12.75" customHeight="1">
      <c r="A21" s="272"/>
      <c r="B21" s="271"/>
      <c r="C21" s="653" t="s">
        <v>192</v>
      </c>
      <c r="D21" s="661" t="s">
        <v>194</v>
      </c>
      <c r="E21" s="659"/>
      <c r="F21" s="659"/>
      <c r="G21" s="662"/>
      <c r="H21" s="658" t="s">
        <v>195</v>
      </c>
      <c r="I21" s="659"/>
      <c r="J21" s="659"/>
      <c r="K21" s="659"/>
      <c r="L21" s="659"/>
      <c r="M21" s="659"/>
      <c r="N21" s="659"/>
      <c r="O21" s="659"/>
      <c r="P21" s="659"/>
      <c r="Q21" s="238"/>
      <c r="R21" s="233"/>
      <c r="S21" s="233"/>
      <c r="T21" s="272"/>
      <c r="U21" s="233"/>
      <c r="V21" s="233"/>
    </row>
    <row r="22" spans="1:22" ht="37.5" customHeight="1">
      <c r="A22" s="272"/>
      <c r="B22" s="271"/>
      <c r="C22" s="653"/>
      <c r="D22" s="654"/>
      <c r="E22" s="654"/>
      <c r="F22" s="654"/>
      <c r="G22" s="654"/>
      <c r="H22" s="660"/>
      <c r="I22" s="660"/>
      <c r="J22" s="660"/>
      <c r="K22" s="660"/>
      <c r="L22" s="660"/>
      <c r="M22" s="660"/>
      <c r="N22" s="660"/>
      <c r="O22" s="660"/>
      <c r="P22" s="660"/>
      <c r="Q22" s="238"/>
      <c r="R22" s="233"/>
      <c r="S22" s="233"/>
      <c r="T22" s="272"/>
      <c r="U22" s="233"/>
      <c r="V22" s="233"/>
    </row>
    <row r="23" spans="1:22" ht="37.5" customHeight="1">
      <c r="A23" s="238"/>
      <c r="B23" s="375"/>
      <c r="C23" s="653" t="s">
        <v>193</v>
      </c>
      <c r="D23" s="654"/>
      <c r="E23" s="654"/>
      <c r="F23" s="654"/>
      <c r="G23" s="654"/>
      <c r="H23" s="654"/>
      <c r="I23" s="654"/>
      <c r="J23" s="654"/>
      <c r="K23" s="654"/>
      <c r="L23" s="654"/>
      <c r="M23" s="654"/>
      <c r="N23" s="654"/>
      <c r="O23" s="654"/>
      <c r="P23" s="654"/>
      <c r="Q23" s="238"/>
      <c r="R23" s="233"/>
      <c r="S23" s="233"/>
      <c r="T23" s="272"/>
      <c r="U23" s="233"/>
      <c r="V23" s="233"/>
    </row>
    <row r="24" spans="1:22" ht="13.5" customHeight="1">
      <c r="A24" s="238"/>
      <c r="B24" s="376"/>
      <c r="C24" s="653"/>
      <c r="D24" s="654"/>
      <c r="E24" s="654"/>
      <c r="F24" s="654"/>
      <c r="G24" s="654"/>
      <c r="H24" s="654"/>
      <c r="I24" s="654"/>
      <c r="J24" s="654"/>
      <c r="K24" s="654"/>
      <c r="L24" s="654"/>
      <c r="M24" s="654"/>
      <c r="N24" s="654"/>
      <c r="O24" s="654"/>
      <c r="P24" s="654"/>
      <c r="Q24" s="238"/>
      <c r="R24" s="233"/>
      <c r="S24" s="233"/>
      <c r="T24" s="272"/>
      <c r="U24" s="233"/>
      <c r="V24" s="233"/>
    </row>
    <row r="25" spans="1:22">
      <c r="A25" s="272"/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72"/>
      <c r="U25" s="233"/>
      <c r="V25" s="233"/>
    </row>
    <row r="26" spans="1:22" ht="13.5" thickBot="1">
      <c r="A26" s="272"/>
      <c r="B26" s="285"/>
      <c r="C26" s="288"/>
      <c r="D26" s="288"/>
      <c r="E26" s="288"/>
      <c r="F26" s="288"/>
      <c r="G26" s="288"/>
      <c r="H26" s="288"/>
      <c r="I26" s="288"/>
      <c r="J26" s="288"/>
      <c r="K26" s="288"/>
      <c r="L26" s="288"/>
      <c r="M26" s="288"/>
      <c r="N26" s="288"/>
      <c r="O26" s="288"/>
      <c r="P26" s="288"/>
      <c r="Q26" s="288"/>
      <c r="R26" s="288"/>
      <c r="S26" s="288"/>
      <c r="T26" s="289"/>
      <c r="U26" s="233"/>
      <c r="V26" s="233"/>
    </row>
    <row r="27" spans="1:22">
      <c r="A27" s="233"/>
      <c r="B27" s="233"/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</row>
    <row r="28" spans="1:22">
      <c r="A28" s="233"/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</row>
    <row r="29" spans="1:22">
      <c r="A29" s="233"/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</row>
    <row r="30" spans="1:22">
      <c r="A30" s="233"/>
      <c r="B30" s="233"/>
      <c r="C30" s="233"/>
      <c r="D30" s="233"/>
      <c r="E30" s="233"/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</row>
    <row r="31" spans="1:22">
      <c r="A31" s="233"/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</row>
    <row r="32" spans="1:22">
      <c r="A32" s="233"/>
      <c r="B32" s="233"/>
      <c r="C32" s="233"/>
      <c r="D32" s="233"/>
      <c r="E32" s="233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</row>
    <row r="33" spans="1:22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</row>
    <row r="34" spans="1:22">
      <c r="A34" s="233"/>
      <c r="B34" s="233"/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</row>
    <row r="35" spans="1:22">
      <c r="A35" s="233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</row>
  </sheetData>
  <protectedRanges>
    <protectedRange sqref="F9:G12 I9:I12 K9:N12 F14:G14 I14 K14:N14 D16:G19 I16:I19 D22:P23 K16:N19" name="Desprotegidos"/>
  </protectedRanges>
  <mergeCells count="19">
    <mergeCell ref="D2:F2"/>
    <mergeCell ref="D4:F4"/>
    <mergeCell ref="J2:L2"/>
    <mergeCell ref="J4:L4"/>
    <mergeCell ref="F6:G6"/>
    <mergeCell ref="K6:M6"/>
    <mergeCell ref="R7:S7"/>
    <mergeCell ref="C23:C24"/>
    <mergeCell ref="D23:G24"/>
    <mergeCell ref="H23:P24"/>
    <mergeCell ref="C21:C22"/>
    <mergeCell ref="C8:P8"/>
    <mergeCell ref="C13:P13"/>
    <mergeCell ref="C15:P15"/>
    <mergeCell ref="C20:P20"/>
    <mergeCell ref="H21:P21"/>
    <mergeCell ref="H22:P22"/>
    <mergeCell ref="D21:G21"/>
    <mergeCell ref="D22:G22"/>
  </mergeCells>
  <phoneticPr fontId="12" type="noConversion"/>
  <printOptions horizontalCentered="1" verticalCentered="1"/>
  <pageMargins left="0" right="0" top="0" bottom="0" header="0" footer="0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9</vt:i4>
      </vt:variant>
    </vt:vector>
  </HeadingPairs>
  <TitlesOfParts>
    <vt:vector size="21" baseType="lpstr">
      <vt:lpstr>Cálculo de consumo</vt:lpstr>
      <vt:lpstr>Intensidad y Ángulo incli.</vt:lpstr>
      <vt:lpstr>Dimensionado Batería</vt:lpstr>
      <vt:lpstr>Dimensionado PV</vt:lpstr>
      <vt:lpstr>Gráficos</vt:lpstr>
      <vt:lpstr>Regulador de carga</vt:lpstr>
      <vt:lpstr>Acon.de potencia</vt:lpstr>
      <vt:lpstr>Comp. protección</vt:lpstr>
      <vt:lpstr>Cableado</vt:lpstr>
      <vt:lpstr>Hibrido</vt:lpstr>
      <vt:lpstr>Ciclo de vida</vt:lpstr>
      <vt:lpstr>Radiación</vt:lpstr>
      <vt:lpstr>'Cálculo de consumo'!Área_de_impresión</vt:lpstr>
      <vt:lpstr>'Ciclo de vida'!Área_de_impresión</vt:lpstr>
      <vt:lpstr>'Comp. protección'!Área_de_impresión</vt:lpstr>
      <vt:lpstr>'Dimensionado Batería'!Área_de_impresión</vt:lpstr>
      <vt:lpstr>'Dimensionado PV'!Área_de_impresión</vt:lpstr>
      <vt:lpstr>Gráficos!Área_de_impresión</vt:lpstr>
      <vt:lpstr>Hibrido!Área_de_impresión</vt:lpstr>
      <vt:lpstr>'Intensidad y Ángulo incli.'!Área_de_impresión</vt:lpstr>
      <vt:lpstr>'Regulador de carga'!Área_de_impresión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José Navarro</dc:creator>
  <cp:lastModifiedBy>hp</cp:lastModifiedBy>
  <cp:lastPrinted>2009-09-25T16:32:09Z</cp:lastPrinted>
  <dcterms:created xsi:type="dcterms:W3CDTF">2003-08-09T09:33:43Z</dcterms:created>
  <dcterms:modified xsi:type="dcterms:W3CDTF">2012-02-17T17:27:07Z</dcterms:modified>
</cp:coreProperties>
</file>