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640" windowHeight="79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/>
  <c r="G27" i="1"/>
  <c r="F27" i="1"/>
  <c r="J26" i="1"/>
  <c r="I26" i="1"/>
  <c r="G26" i="1"/>
  <c r="F26" i="1"/>
  <c r="J25" i="1"/>
  <c r="I25" i="1"/>
  <c r="G25" i="1"/>
  <c r="F25" i="1"/>
  <c r="J15" i="1"/>
  <c r="I15" i="1"/>
  <c r="G15" i="1"/>
  <c r="F15" i="1"/>
  <c r="J14" i="1"/>
  <c r="I14" i="1"/>
  <c r="H14" i="1"/>
  <c r="G14" i="1"/>
  <c r="F14" i="1"/>
  <c r="I13" i="1"/>
  <c r="J13" i="1"/>
  <c r="H13" i="1"/>
  <c r="G13" i="1"/>
  <c r="F13" i="1"/>
  <c r="H24" i="1" l="1"/>
  <c r="H23" i="1"/>
  <c r="H21" i="1"/>
  <c r="H20" i="1"/>
  <c r="H18" i="1"/>
  <c r="H17" i="1"/>
  <c r="H12" i="1"/>
  <c r="H11" i="1"/>
  <c r="H10" i="1"/>
  <c r="H9" i="1"/>
  <c r="H8" i="1"/>
  <c r="G24" i="1"/>
  <c r="G23" i="1"/>
  <c r="G22" i="1"/>
  <c r="G21" i="1"/>
  <c r="G20" i="1"/>
  <c r="G19" i="1"/>
  <c r="G18" i="1"/>
  <c r="G17" i="1"/>
  <c r="G16" i="1"/>
  <c r="G12" i="1"/>
  <c r="G11" i="1"/>
  <c r="G10" i="1"/>
  <c r="G9" i="1"/>
  <c r="G8" i="1"/>
  <c r="F24" i="1"/>
  <c r="F23" i="1"/>
  <c r="F22" i="1"/>
  <c r="F21" i="1"/>
  <c r="F20" i="1"/>
  <c r="F19" i="1"/>
  <c r="F18" i="1"/>
  <c r="F17" i="1"/>
  <c r="F16" i="1"/>
  <c r="F12" i="1"/>
  <c r="F11" i="1"/>
  <c r="F10" i="1"/>
  <c r="F9" i="1"/>
  <c r="F8" i="1"/>
  <c r="G7" i="1"/>
  <c r="F7" i="1"/>
  <c r="H6" i="1"/>
  <c r="G6" i="1"/>
  <c r="F6" i="1"/>
  <c r="H5" i="1"/>
  <c r="G5" i="1"/>
  <c r="F5" i="1"/>
  <c r="I16" i="1"/>
  <c r="J16" i="1" s="1"/>
  <c r="G4" i="1"/>
  <c r="F4" i="1"/>
  <c r="I10" i="1" l="1"/>
  <c r="J10" i="1" s="1"/>
  <c r="I17" i="1"/>
  <c r="J17" i="1" s="1"/>
  <c r="I21" i="1"/>
  <c r="J21" i="1" s="1"/>
  <c r="I6" i="1"/>
  <c r="J6" i="1" s="1"/>
  <c r="I5" i="1"/>
  <c r="J5" i="1" s="1"/>
  <c r="I18" i="1"/>
  <c r="J18" i="1" s="1"/>
  <c r="I24" i="1"/>
  <c r="J24" i="1" s="1"/>
  <c r="I11" i="1"/>
  <c r="J11" i="1" s="1"/>
  <c r="I22" i="1"/>
  <c r="J22" i="1" s="1"/>
  <c r="I20" i="1"/>
  <c r="J20" i="1" s="1"/>
  <c r="I9" i="1"/>
  <c r="J9" i="1" s="1"/>
  <c r="I8" i="1"/>
  <c r="J8" i="1" s="1"/>
  <c r="I7" i="1"/>
  <c r="J7" i="1" s="1"/>
  <c r="I12" i="1"/>
  <c r="J12" i="1" s="1"/>
  <c r="I19" i="1"/>
  <c r="J19" i="1" s="1"/>
  <c r="I23" i="1"/>
  <c r="J23" i="1" s="1"/>
  <c r="I4" i="1"/>
  <c r="J4" i="1" s="1"/>
</calcChain>
</file>

<file path=xl/sharedStrings.xml><?xml version="1.0" encoding="utf-8"?>
<sst xmlns="http://schemas.openxmlformats.org/spreadsheetml/2006/main" count="89" uniqueCount="55">
  <si>
    <t>AÑO</t>
  </si>
  <si>
    <t>TECNOLOGIA</t>
  </si>
  <si>
    <t>FIJA</t>
  </si>
  <si>
    <t>1 EJE</t>
  </si>
  <si>
    <t>2 EJES</t>
  </si>
  <si>
    <t xml:space="preserve">FIJA </t>
  </si>
  <si>
    <t>CODIGO</t>
  </si>
  <si>
    <t>IT-00465</t>
  </si>
  <si>
    <t>IT-00470</t>
  </si>
  <si>
    <t>IT-00477</t>
  </si>
  <si>
    <t>IT-00483</t>
  </si>
  <si>
    <t>IT-00488</t>
  </si>
  <si>
    <t>IT-00493</t>
  </si>
  <si>
    <t>IT-00466</t>
  </si>
  <si>
    <t>IT-00471</t>
  </si>
  <si>
    <t>IT-00478</t>
  </si>
  <si>
    <t>IT-00484</t>
  </si>
  <si>
    <t>IT-00489</t>
  </si>
  <si>
    <t>IT-00494</t>
  </si>
  <si>
    <t>IT-00497</t>
  </si>
  <si>
    <t>IT-00500</t>
  </si>
  <si>
    <t>IT-00503</t>
  </si>
  <si>
    <t>IT-00498</t>
  </si>
  <si>
    <t>IT-00501</t>
  </si>
  <si>
    <t>IT-00504</t>
  </si>
  <si>
    <t>≤  100 Kw nominales</t>
  </si>
  <si>
    <r>
      <rPr>
        <sz val="11"/>
        <color theme="1"/>
        <rFont val="Calibri"/>
        <family val="2"/>
      </rPr>
      <t xml:space="preserve">≤  </t>
    </r>
    <r>
      <rPr>
        <sz val="11"/>
        <color theme="1"/>
        <rFont val="Calibri"/>
        <family val="2"/>
        <scheme val="minor"/>
      </rPr>
      <t>100 Kw nominales</t>
    </r>
  </si>
  <si>
    <t>&gt; 100 kw nominales ≤ 2MW nominales</t>
  </si>
  <si>
    <t xml:space="preserve"> &gt; 2 MW nominales ≤ 10 MW nominales</t>
  </si>
  <si>
    <t>≤ 100 Kw nominales</t>
  </si>
  <si>
    <t>&gt; 100 kw nominales ≤  2MW nominales</t>
  </si>
  <si>
    <t>&gt; 2 MW nominales ≤ 10 MW nominales</t>
  </si>
  <si>
    <t>&gt; 2MW nominales ≤ 10 MW nominales</t>
  </si>
  <si>
    <t>&gt; 2 MW nomanles ≤ 10 MW nominales</t>
  </si>
  <si>
    <t>POTENCIA NOMINAL CONJUNTO DEL PROYECTO</t>
  </si>
  <si>
    <t>RETRIB. INVERSION</t>
  </si>
  <si>
    <t>RETRIB. OPERACIÓN</t>
  </si>
  <si>
    <t>VENTA A MERCADO</t>
  </si>
  <si>
    <t>RET.TOTAL</t>
  </si>
  <si>
    <t>RET.DESPUES 7%</t>
  </si>
  <si>
    <t>POTENCIA NOMINAL</t>
  </si>
  <si>
    <r>
      <t xml:space="preserve">SON RETRIBUCIONES PARA PLANTAS DEL RD 661 QUE TIENEN UNA POTENCIA INDIVIDUAL </t>
    </r>
    <r>
      <rPr>
        <sz val="11"/>
        <color theme="1"/>
        <rFont val="Calibri"/>
        <family val="2"/>
      </rPr>
      <t>≤ 100 KW nominales</t>
    </r>
  </si>
  <si>
    <t>RETRIBUCION PARA PLANTA PERTENECIENTE AL RD 661 EN FUNCION DE SUS CARACTERISTICAS: AÑO / TECNOLOGIA / POTENCIA NOMINAL DEL CONJUNTO DEL PROYECTO TIPO/ POTENCIA NOMINAL INDIVIDUAL</t>
  </si>
  <si>
    <t>RECORDAD QUE EN LA COLUMNA "D" ES LA POTENCIA NOMINAL DEL PROYECTO TIPO, ES DECIR, DEL CONJUNTO DE LA INSTALACION DE LA INSTALACION</t>
  </si>
  <si>
    <t>LA COLUMNA "E" "POTENCIA NOMINAL" ES LA DE VUESTRA INSTALACION. ES LA UNICA CASILLA QUE SE PUEDE MODIFICAR SEGÚN CUAL SEA VUESTRA POTENCIA NOMINAL</t>
  </si>
  <si>
    <t>1EJE</t>
  </si>
  <si>
    <t>IT-00505</t>
  </si>
  <si>
    <t>IT-00507</t>
  </si>
  <si>
    <t>IT-00509</t>
  </si>
  <si>
    <t>IT-00506</t>
  </si>
  <si>
    <t>IT-00508</t>
  </si>
  <si>
    <t>&gt; 10 MW nominales</t>
  </si>
  <si>
    <t xml:space="preserve">                                                                           </t>
  </si>
  <si>
    <t>LA VENTA A MERCADO ESTA ESTIMADA PARA UN FUNCIONAMIENTO DE 1648, 2102 Y 2124 HORAS PARA LAS PLANTAS FIJAS, 1 EJE Y 2 EJES RESPECTIVAMENTE Y A UN PRECIO DEL POOL DE 0,05 euros/Kwh</t>
  </si>
  <si>
    <t>LA RETRIBUCION A LA OPERACIÓN ES LA MAXIMA QUE SE PUEDE CONSEGUIR SI SE ALCANCE LAS HORAS DE REFERENCIA ANTERIORMENET INDICADAS (1648, 2102 Y 2124)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</si>
</sst>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* #,##0.00\ [$€-C0A]_-;\-* #,##0.00\ [$€-C0A]_-;_-* &quot;-&quot;??\ [$€-C0A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/>
    <xf numFmtId="165" fontId="3" fillId="0" borderId="1" xfId="0" applyNumberFormat="1" applyFont="1" applyBorder="1" applyAlignment="1"/>
    <xf numFmtId="0" fontId="1" fillId="4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6" borderId="4" xfId="0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5" fontId="1" fillId="0" borderId="4" xfId="0" applyNumberFormat="1" applyFont="1" applyBorder="1" applyAlignment="1"/>
    <xf numFmtId="165" fontId="3" fillId="0" borderId="4" xfId="0" applyNumberFormat="1" applyFont="1" applyBorder="1" applyAlignment="1"/>
    <xf numFmtId="0" fontId="1" fillId="5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6" borderId="3" xfId="0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5" fontId="1" fillId="0" borderId="3" xfId="0" applyNumberFormat="1" applyFont="1" applyBorder="1" applyAlignment="1"/>
    <xf numFmtId="165" fontId="3" fillId="0" borderId="3" xfId="0" applyNumberFormat="1" applyFont="1" applyBorder="1" applyAlignment="1"/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D13" sqref="D13"/>
    </sheetView>
  </sheetViews>
  <sheetFormatPr defaultRowHeight="15" x14ac:dyDescent="0.25"/>
  <cols>
    <col min="1" max="1" width="8.42578125" customWidth="1"/>
    <col min="2" max="2" width="12.140625" customWidth="1"/>
    <col min="3" max="3" width="9.85546875" customWidth="1"/>
    <col min="4" max="4" width="44.5703125" customWidth="1"/>
    <col min="5" max="5" width="21.140625" customWidth="1"/>
    <col min="6" max="6" width="18" customWidth="1"/>
    <col min="7" max="7" width="20.28515625" customWidth="1"/>
    <col min="8" max="8" width="17.85546875" customWidth="1"/>
    <col min="9" max="9" width="14.85546875" customWidth="1"/>
    <col min="10" max="10" width="18" customWidth="1"/>
  </cols>
  <sheetData>
    <row r="1" spans="1:10" x14ac:dyDescent="0.25">
      <c r="A1" s="10" t="s">
        <v>42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A3" s="1" t="s">
        <v>0</v>
      </c>
      <c r="B3" s="1" t="s">
        <v>1</v>
      </c>
      <c r="C3" s="1" t="s">
        <v>6</v>
      </c>
      <c r="D3" s="1" t="s">
        <v>34</v>
      </c>
      <c r="E3" s="1" t="s">
        <v>40</v>
      </c>
      <c r="F3" s="1" t="s">
        <v>35</v>
      </c>
      <c r="G3" s="1" t="s">
        <v>36</v>
      </c>
      <c r="H3" s="1" t="s">
        <v>37</v>
      </c>
      <c r="I3" s="1" t="s">
        <v>38</v>
      </c>
      <c r="J3" s="1" t="s">
        <v>39</v>
      </c>
    </row>
    <row r="4" spans="1:10" x14ac:dyDescent="0.25">
      <c r="A4" s="6">
        <v>2007</v>
      </c>
      <c r="B4" s="4" t="s">
        <v>2</v>
      </c>
      <c r="C4" s="4" t="s">
        <v>7</v>
      </c>
      <c r="D4" s="2" t="s">
        <v>26</v>
      </c>
      <c r="E4" s="7">
        <v>100</v>
      </c>
      <c r="F4" s="2">
        <f>57641*E4/100</f>
        <v>57641</v>
      </c>
      <c r="G4" s="9">
        <f>12.449*1648*0.1*E4/100</f>
        <v>2051.5952000000002</v>
      </c>
      <c r="H4" s="2">
        <v>8240</v>
      </c>
      <c r="I4" s="12">
        <f>F4+G4+H4</f>
        <v>67932.595200000011</v>
      </c>
      <c r="J4" s="13">
        <f>I4*0.93</f>
        <v>63177.313536000016</v>
      </c>
    </row>
    <row r="5" spans="1:10" x14ac:dyDescent="0.25">
      <c r="A5" s="6">
        <v>2007</v>
      </c>
      <c r="B5" s="4" t="s">
        <v>3</v>
      </c>
      <c r="C5" s="4" t="s">
        <v>8</v>
      </c>
      <c r="D5" s="2" t="s">
        <v>25</v>
      </c>
      <c r="E5" s="7">
        <v>100</v>
      </c>
      <c r="F5" s="2">
        <f>64499*E5/100</f>
        <v>64499</v>
      </c>
      <c r="G5" s="9">
        <f>9.043*2102*0.1*E5/100</f>
        <v>1900.8386</v>
      </c>
      <c r="H5" s="2">
        <f>10510*E5/100</f>
        <v>10510</v>
      </c>
      <c r="I5" s="12">
        <f t="shared" ref="I5:I12" si="0">F5+G5+H5</f>
        <v>76909.838600000003</v>
      </c>
      <c r="J5" s="13">
        <f t="shared" ref="J5:J15" si="1">I5*0.93</f>
        <v>71526.149898000003</v>
      </c>
    </row>
    <row r="6" spans="1:10" x14ac:dyDescent="0.25">
      <c r="A6" s="6">
        <v>2007</v>
      </c>
      <c r="B6" s="4" t="s">
        <v>4</v>
      </c>
      <c r="C6" s="4" t="s">
        <v>9</v>
      </c>
      <c r="D6" s="2" t="s">
        <v>25</v>
      </c>
      <c r="E6" s="7">
        <v>100</v>
      </c>
      <c r="F6" s="2">
        <f>67049*E6/100</f>
        <v>67049</v>
      </c>
      <c r="G6" s="9">
        <f>9.701*2124*0.1*E6/100</f>
        <v>2060.4924000000005</v>
      </c>
      <c r="H6" s="2">
        <f>10620*E6/100</f>
        <v>10620</v>
      </c>
      <c r="I6" s="12">
        <f t="shared" si="0"/>
        <v>79729.492400000003</v>
      </c>
      <c r="J6" s="13">
        <f t="shared" si="1"/>
        <v>74148.427932000006</v>
      </c>
    </row>
    <row r="7" spans="1:10" x14ac:dyDescent="0.25">
      <c r="A7" s="6">
        <v>2007</v>
      </c>
      <c r="B7" s="4" t="s">
        <v>2</v>
      </c>
      <c r="C7" s="4" t="s">
        <v>10</v>
      </c>
      <c r="D7" s="2" t="s">
        <v>27</v>
      </c>
      <c r="E7" s="7">
        <v>100</v>
      </c>
      <c r="F7" s="2">
        <f>55036*E7/100</f>
        <v>55036</v>
      </c>
      <c r="G7" s="9">
        <f>23.135*1648*0.1*E7/100</f>
        <v>3812.6480000000006</v>
      </c>
      <c r="H7" s="2">
        <v>8500</v>
      </c>
      <c r="I7" s="12">
        <f t="shared" si="0"/>
        <v>67348.648000000001</v>
      </c>
      <c r="J7" s="13">
        <f t="shared" si="1"/>
        <v>62634.242640000004</v>
      </c>
    </row>
    <row r="8" spans="1:10" x14ac:dyDescent="0.25">
      <c r="A8" s="6">
        <v>2007</v>
      </c>
      <c r="B8" s="4" t="s">
        <v>3</v>
      </c>
      <c r="C8" s="4" t="s">
        <v>11</v>
      </c>
      <c r="D8" s="2" t="s">
        <v>27</v>
      </c>
      <c r="E8" s="7">
        <v>100</v>
      </c>
      <c r="F8" s="2">
        <f>63228*E8/100</f>
        <v>63228</v>
      </c>
      <c r="G8" s="9">
        <f>22.514*2102*0.1*E8/100</f>
        <v>4732.4427999999998</v>
      </c>
      <c r="H8" s="2">
        <f>10510*E8/100</f>
        <v>10510</v>
      </c>
      <c r="I8" s="14">
        <f t="shared" si="0"/>
        <v>78470.442800000004</v>
      </c>
      <c r="J8" s="15">
        <f t="shared" si="1"/>
        <v>72977.511804000009</v>
      </c>
    </row>
    <row r="9" spans="1:10" x14ac:dyDescent="0.25">
      <c r="A9" s="6">
        <v>2007</v>
      </c>
      <c r="B9" s="4" t="s">
        <v>4</v>
      </c>
      <c r="C9" s="4" t="s">
        <v>12</v>
      </c>
      <c r="D9" s="2" t="s">
        <v>27</v>
      </c>
      <c r="E9" s="7">
        <v>100</v>
      </c>
      <c r="F9" s="2">
        <f>67672*E9/100</f>
        <v>67672</v>
      </c>
      <c r="G9" s="9">
        <f>23.681*2124*0.1*E9/100</f>
        <v>5029.8444000000009</v>
      </c>
      <c r="H9" s="2">
        <f>10620*E9/100</f>
        <v>10620</v>
      </c>
      <c r="I9" s="14">
        <f t="shared" si="0"/>
        <v>83321.844400000002</v>
      </c>
      <c r="J9" s="15">
        <f t="shared" si="1"/>
        <v>77489.315291999999</v>
      </c>
    </row>
    <row r="10" spans="1:10" x14ac:dyDescent="0.25">
      <c r="A10" s="6">
        <v>2007</v>
      </c>
      <c r="B10" s="4" t="s">
        <v>2</v>
      </c>
      <c r="C10" s="4" t="s">
        <v>19</v>
      </c>
      <c r="D10" s="2" t="s">
        <v>28</v>
      </c>
      <c r="E10" s="7">
        <v>100</v>
      </c>
      <c r="F10" s="2">
        <f>49738*E10/100</f>
        <v>49738</v>
      </c>
      <c r="G10" s="9">
        <f>19.953*1648*0.1*E10/100</f>
        <v>3288.2543999999998</v>
      </c>
      <c r="H10" s="2">
        <f>8240*E10/100</f>
        <v>8240</v>
      </c>
      <c r="I10" s="14">
        <f t="shared" si="0"/>
        <v>61266.254399999998</v>
      </c>
      <c r="J10" s="15">
        <f t="shared" si="1"/>
        <v>56977.616591999998</v>
      </c>
    </row>
    <row r="11" spans="1:10" x14ac:dyDescent="0.25">
      <c r="A11" s="6">
        <v>2007</v>
      </c>
      <c r="B11" s="4" t="s">
        <v>3</v>
      </c>
      <c r="C11" s="4" t="s">
        <v>20</v>
      </c>
      <c r="D11" s="2" t="s">
        <v>31</v>
      </c>
      <c r="E11" s="7">
        <v>100</v>
      </c>
      <c r="F11" s="2">
        <f>56016*E11/100</f>
        <v>56016</v>
      </c>
      <c r="G11" s="9">
        <f>19.171*2102*0.1*E11/100</f>
        <v>4029.7441999999996</v>
      </c>
      <c r="H11" s="2">
        <f>10510*E11/100</f>
        <v>10510</v>
      </c>
      <c r="I11" s="14">
        <f t="shared" si="0"/>
        <v>70555.744200000001</v>
      </c>
      <c r="J11" s="15">
        <f t="shared" si="1"/>
        <v>65616.842106000011</v>
      </c>
    </row>
    <row r="12" spans="1:10" x14ac:dyDescent="0.25">
      <c r="A12" s="6">
        <v>2007</v>
      </c>
      <c r="B12" s="4" t="s">
        <v>4</v>
      </c>
      <c r="C12" s="4" t="s">
        <v>21</v>
      </c>
      <c r="D12" s="2" t="s">
        <v>31</v>
      </c>
      <c r="E12" s="7">
        <v>100</v>
      </c>
      <c r="F12" s="2">
        <f>62294*E12/100</f>
        <v>62294</v>
      </c>
      <c r="G12" s="9">
        <f>21.015*2124*0.1*E12/100</f>
        <v>4463.5860000000002</v>
      </c>
      <c r="H12" s="2">
        <f>10620*E12/100</f>
        <v>10620</v>
      </c>
      <c r="I12" s="14">
        <f t="shared" si="0"/>
        <v>77377.585999999996</v>
      </c>
      <c r="J12" s="15">
        <f t="shared" si="1"/>
        <v>71961.154980000007</v>
      </c>
    </row>
    <row r="13" spans="1:10" x14ac:dyDescent="0.25">
      <c r="A13" s="6">
        <v>2007</v>
      </c>
      <c r="B13" s="8" t="s">
        <v>2</v>
      </c>
      <c r="C13" s="4" t="s">
        <v>46</v>
      </c>
      <c r="D13" s="2" t="s">
        <v>51</v>
      </c>
      <c r="E13" s="7">
        <v>100</v>
      </c>
      <c r="F13" s="2">
        <f>41002*E13/100</f>
        <v>41002</v>
      </c>
      <c r="G13" s="9">
        <f>15.965*1648*0.1*E13/100</f>
        <v>2631.0320000000002</v>
      </c>
      <c r="H13" s="2">
        <f>8240*E13/100</f>
        <v>8240</v>
      </c>
      <c r="I13" s="14">
        <f>F13+G13+H13</f>
        <v>51873.031999999999</v>
      </c>
      <c r="J13" s="15">
        <f t="shared" si="1"/>
        <v>48241.919760000004</v>
      </c>
    </row>
    <row r="14" spans="1:10" x14ac:dyDescent="0.25">
      <c r="A14" s="6">
        <v>2007</v>
      </c>
      <c r="B14" s="8" t="s">
        <v>45</v>
      </c>
      <c r="C14" s="4" t="s">
        <v>47</v>
      </c>
      <c r="D14" s="2" t="s">
        <v>51</v>
      </c>
      <c r="E14" s="7">
        <v>100</v>
      </c>
      <c r="F14" s="2">
        <f>40636*E14/100</f>
        <v>40636</v>
      </c>
      <c r="G14" s="9">
        <f>13.664*1648*0.1*E14/100</f>
        <v>2251.8272000000002</v>
      </c>
      <c r="H14" s="2">
        <f>10510</f>
        <v>10510</v>
      </c>
      <c r="I14" s="14">
        <f>F14+G14+H14</f>
        <v>53397.8272</v>
      </c>
      <c r="J14" s="15">
        <f t="shared" si="1"/>
        <v>49659.979296000005</v>
      </c>
    </row>
    <row r="15" spans="1:10" ht="15.75" thickBot="1" x14ac:dyDescent="0.3">
      <c r="A15" s="23">
        <v>2007</v>
      </c>
      <c r="B15" s="24" t="s">
        <v>4</v>
      </c>
      <c r="C15" s="30" t="s">
        <v>48</v>
      </c>
      <c r="D15" s="25" t="s">
        <v>51</v>
      </c>
      <c r="E15" s="26">
        <v>100</v>
      </c>
      <c r="F15" s="25">
        <f>45512*E15/100</f>
        <v>45512</v>
      </c>
      <c r="G15" s="27">
        <f>15.068*2124*0.1*E15/100</f>
        <v>3200.4432000000002</v>
      </c>
      <c r="H15" s="25">
        <v>10620</v>
      </c>
      <c r="I15" s="28">
        <f>F15+G15+H15</f>
        <v>59332.443200000002</v>
      </c>
      <c r="J15" s="29">
        <f t="shared" si="1"/>
        <v>55179.172176000007</v>
      </c>
    </row>
    <row r="16" spans="1:10" x14ac:dyDescent="0.25">
      <c r="A16" s="16">
        <v>2008</v>
      </c>
      <c r="B16" s="17" t="s">
        <v>2</v>
      </c>
      <c r="C16" s="17" t="s">
        <v>13</v>
      </c>
      <c r="D16" s="18" t="s">
        <v>29</v>
      </c>
      <c r="E16" s="19">
        <v>100</v>
      </c>
      <c r="F16" s="18">
        <f>57469*E16/100</f>
        <v>57469</v>
      </c>
      <c r="G16" s="20">
        <f>12.37*1648*0.1*E16/100</f>
        <v>2038.576</v>
      </c>
      <c r="H16" s="18">
        <v>8240</v>
      </c>
      <c r="I16" s="21">
        <f>F16+G16+H16</f>
        <v>67747.576000000001</v>
      </c>
      <c r="J16" s="22">
        <f>I16*0.93</f>
        <v>63005.245680000007</v>
      </c>
    </row>
    <row r="17" spans="1:10" x14ac:dyDescent="0.25">
      <c r="A17" s="5">
        <v>2008</v>
      </c>
      <c r="B17" s="4" t="s">
        <v>3</v>
      </c>
      <c r="C17" s="4" t="s">
        <v>14</v>
      </c>
      <c r="D17" s="2" t="s">
        <v>29</v>
      </c>
      <c r="E17" s="7">
        <v>100</v>
      </c>
      <c r="F17" s="2">
        <f>71648*E17/100</f>
        <v>71648</v>
      </c>
      <c r="G17" s="9">
        <f>11.603*2102*0.1*E17/100</f>
        <v>2438.9506000000001</v>
      </c>
      <c r="H17" s="2">
        <f>10510*E17/100</f>
        <v>10510</v>
      </c>
      <c r="I17" s="14">
        <f>F17+G17+H17</f>
        <v>84596.950599999996</v>
      </c>
      <c r="J17" s="15">
        <f>I17*0.93</f>
        <v>78675.164057999995</v>
      </c>
    </row>
    <row r="18" spans="1:10" x14ac:dyDescent="0.25">
      <c r="A18" s="5">
        <v>2008</v>
      </c>
      <c r="B18" s="8" t="s">
        <v>4</v>
      </c>
      <c r="C18" s="8" t="s">
        <v>15</v>
      </c>
      <c r="D18" s="3" t="s">
        <v>29</v>
      </c>
      <c r="E18" s="7">
        <v>100</v>
      </c>
      <c r="F18" s="3">
        <f>68428*E18/100</f>
        <v>68428</v>
      </c>
      <c r="G18" s="9">
        <f>10.19*2124*0.1*E18/100</f>
        <v>2164.3559999999998</v>
      </c>
      <c r="H18" s="3">
        <f>10620*E18/100</f>
        <v>10620</v>
      </c>
      <c r="I18" s="14">
        <f>F18+G18+H18</f>
        <v>81212.356</v>
      </c>
      <c r="J18" s="15">
        <f>I18*0.93</f>
        <v>75527.491080000007</v>
      </c>
    </row>
    <row r="19" spans="1:10" x14ac:dyDescent="0.25">
      <c r="A19" s="5">
        <v>2008</v>
      </c>
      <c r="B19" s="4" t="s">
        <v>5</v>
      </c>
      <c r="C19" s="4" t="s">
        <v>16</v>
      </c>
      <c r="D19" s="2" t="s">
        <v>30</v>
      </c>
      <c r="E19" s="7">
        <v>100</v>
      </c>
      <c r="F19" s="2">
        <f>56727*E19/100</f>
        <v>56727</v>
      </c>
      <c r="G19" s="9">
        <f>23.908*1648*0.1*E19/100</f>
        <v>3940.0384000000008</v>
      </c>
      <c r="H19" s="2">
        <v>8240</v>
      </c>
      <c r="I19" s="14">
        <f>F19+G19+H19</f>
        <v>68907.03839999999</v>
      </c>
      <c r="J19" s="15">
        <f>I19*0.93</f>
        <v>64083.545711999992</v>
      </c>
    </row>
    <row r="20" spans="1:10" x14ac:dyDescent="0.25">
      <c r="A20" s="5">
        <v>2008</v>
      </c>
      <c r="B20" s="4" t="s">
        <v>3</v>
      </c>
      <c r="C20" s="4" t="s">
        <v>17</v>
      </c>
      <c r="D20" s="2" t="s">
        <v>27</v>
      </c>
      <c r="E20" s="7">
        <v>100</v>
      </c>
      <c r="F20" s="2">
        <f>67153*E20/100</f>
        <v>67153</v>
      </c>
      <c r="G20" s="9">
        <f>23.919*2102*0.1*E20/100</f>
        <v>5027.7737999999999</v>
      </c>
      <c r="H20" s="2">
        <f>10510*E20/100</f>
        <v>10510</v>
      </c>
      <c r="I20" s="14">
        <f>F20+G20+H20</f>
        <v>82690.773799999995</v>
      </c>
      <c r="J20" s="15">
        <f>I20*0.93</f>
        <v>76902.419634000005</v>
      </c>
    </row>
    <row r="21" spans="1:10" x14ac:dyDescent="0.25">
      <c r="A21" s="5">
        <v>2008</v>
      </c>
      <c r="B21" s="4" t="s">
        <v>4</v>
      </c>
      <c r="C21" s="4" t="s">
        <v>18</v>
      </c>
      <c r="D21" s="2" t="s">
        <v>27</v>
      </c>
      <c r="E21" s="7">
        <v>100</v>
      </c>
      <c r="F21" s="2">
        <f>67752*E21/100</f>
        <v>67752</v>
      </c>
      <c r="G21" s="9">
        <f>23.709*2124*0.1*E21/100</f>
        <v>5035.7916000000005</v>
      </c>
      <c r="H21" s="2">
        <f>10620*E21/100</f>
        <v>10620</v>
      </c>
      <c r="I21" s="14">
        <f>F21+G21+H21</f>
        <v>83407.791599999997</v>
      </c>
      <c r="J21" s="15">
        <f>I21*0.93</f>
        <v>77569.246188000005</v>
      </c>
    </row>
    <row r="22" spans="1:10" x14ac:dyDescent="0.25">
      <c r="A22" s="5">
        <v>2008</v>
      </c>
      <c r="B22" s="4" t="s">
        <v>2</v>
      </c>
      <c r="C22" s="4" t="s">
        <v>22</v>
      </c>
      <c r="D22" s="2" t="s">
        <v>33</v>
      </c>
      <c r="E22" s="7">
        <v>100</v>
      </c>
      <c r="F22" s="2">
        <f>51131*E22/100</f>
        <v>51131</v>
      </c>
      <c r="G22" s="9">
        <f>20.592*1648*0.1*E22/100</f>
        <v>3393.5615999999995</v>
      </c>
      <c r="H22" s="2">
        <v>8240</v>
      </c>
      <c r="I22" s="14">
        <f>F22+G22+H22</f>
        <v>62764.561600000001</v>
      </c>
      <c r="J22" s="15">
        <f>I22*0.93</f>
        <v>58371.042288000004</v>
      </c>
    </row>
    <row r="23" spans="1:10" x14ac:dyDescent="0.25">
      <c r="A23" s="5">
        <v>2008</v>
      </c>
      <c r="B23" s="4" t="s">
        <v>3</v>
      </c>
      <c r="C23" s="4" t="s">
        <v>23</v>
      </c>
      <c r="D23" s="2" t="s">
        <v>31</v>
      </c>
      <c r="E23" s="7">
        <v>100</v>
      </c>
      <c r="F23" s="2">
        <f>58742*E23/100</f>
        <v>58742</v>
      </c>
      <c r="G23" s="9">
        <f>20.147*2102*0.1*E23/100</f>
        <v>4234.8994000000002</v>
      </c>
      <c r="H23" s="2">
        <f>10510*E23/100</f>
        <v>10510</v>
      </c>
      <c r="I23" s="14">
        <f>F23+G23+H23</f>
        <v>73486.899399999995</v>
      </c>
      <c r="J23" s="15">
        <f>I23*0.93</f>
        <v>68342.816441999996</v>
      </c>
    </row>
    <row r="24" spans="1:10" x14ac:dyDescent="0.25">
      <c r="A24" s="5">
        <v>2008</v>
      </c>
      <c r="B24" s="4" t="s">
        <v>4</v>
      </c>
      <c r="C24" s="4" t="s">
        <v>24</v>
      </c>
      <c r="D24" s="2" t="s">
        <v>32</v>
      </c>
      <c r="E24" s="7">
        <v>100</v>
      </c>
      <c r="F24" s="2">
        <f>61566*E24/100</f>
        <v>61566</v>
      </c>
      <c r="G24" s="9">
        <f>20.757*2124*0.1*E24/100</f>
        <v>4408.7868000000008</v>
      </c>
      <c r="H24" s="2">
        <f>10620*E24/100</f>
        <v>10620</v>
      </c>
      <c r="I24" s="14">
        <f>F24+G24+H24</f>
        <v>76594.786800000002</v>
      </c>
      <c r="J24" s="15">
        <f>I24*0.93</f>
        <v>71233.15172400001</v>
      </c>
    </row>
    <row r="25" spans="1:10" x14ac:dyDescent="0.25">
      <c r="A25" s="5">
        <v>2008</v>
      </c>
      <c r="B25" s="8" t="s">
        <v>2</v>
      </c>
      <c r="C25" s="4" t="s">
        <v>49</v>
      </c>
      <c r="D25" s="2" t="s">
        <v>51</v>
      </c>
      <c r="E25" s="7">
        <v>100</v>
      </c>
      <c r="F25" s="2">
        <f>38620*E25/100</f>
        <v>38620</v>
      </c>
      <c r="G25" s="9">
        <f>14.88*1648*0.1*E25/100</f>
        <v>2452.2240000000002</v>
      </c>
      <c r="H25" s="2">
        <v>8240</v>
      </c>
      <c r="I25" s="14">
        <f>F25+G25+H25</f>
        <v>49312.224000000002</v>
      </c>
      <c r="J25" s="15">
        <f>I25*0.93</f>
        <v>45860.368320000001</v>
      </c>
    </row>
    <row r="26" spans="1:10" x14ac:dyDescent="0.25">
      <c r="A26" s="5">
        <v>2008</v>
      </c>
      <c r="B26" s="8" t="s">
        <v>3</v>
      </c>
      <c r="C26" s="4" t="s">
        <v>50</v>
      </c>
      <c r="D26" s="2" t="s">
        <v>51</v>
      </c>
      <c r="E26" s="7">
        <v>100</v>
      </c>
      <c r="F26" s="2">
        <f>44189*E26/100</f>
        <v>44189</v>
      </c>
      <c r="G26" s="9">
        <f>14.936*2102*0.1*E26/100</f>
        <v>3139.5472000000004</v>
      </c>
      <c r="H26" s="2">
        <v>10510</v>
      </c>
      <c r="I26" s="14">
        <f>F26+G26+H26</f>
        <v>57838.547200000001</v>
      </c>
      <c r="J26" s="15">
        <f>I26*0.93</f>
        <v>53789.848896000003</v>
      </c>
    </row>
    <row r="27" spans="1:10" x14ac:dyDescent="0.25">
      <c r="A27" s="5">
        <v>2008</v>
      </c>
      <c r="B27" s="8" t="s">
        <v>4</v>
      </c>
      <c r="C27" s="4" t="s">
        <v>48</v>
      </c>
      <c r="D27" s="2" t="s">
        <v>51</v>
      </c>
      <c r="E27" s="7">
        <v>100</v>
      </c>
      <c r="F27" s="2">
        <f>45512*E27/100</f>
        <v>45512</v>
      </c>
      <c r="G27" s="9">
        <f>15.068*2124*0.1*E27/100</f>
        <v>3200.4432000000002</v>
      </c>
      <c r="H27" s="2">
        <v>10620</v>
      </c>
      <c r="I27" s="14">
        <f>F27+G27+H27</f>
        <v>59332.443200000002</v>
      </c>
      <c r="J27" s="15">
        <f>I27*0.93</f>
        <v>55179.172176000007</v>
      </c>
    </row>
    <row r="29" spans="1:10" x14ac:dyDescent="0.25">
      <c r="A29" t="s">
        <v>43</v>
      </c>
      <c r="G29" t="s">
        <v>52</v>
      </c>
    </row>
    <row r="30" spans="1:10" x14ac:dyDescent="0.25">
      <c r="A30" t="s">
        <v>44</v>
      </c>
    </row>
    <row r="31" spans="1:10" x14ac:dyDescent="0.25">
      <c r="A31" t="s">
        <v>41</v>
      </c>
    </row>
    <row r="32" spans="1:10" x14ac:dyDescent="0.25">
      <c r="A32" t="s">
        <v>53</v>
      </c>
    </row>
    <row r="33" spans="1:1" x14ac:dyDescent="0.25">
      <c r="A33" t="s">
        <v>54</v>
      </c>
    </row>
  </sheetData>
  <mergeCells count="1">
    <mergeCell ref="A1:J2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2014-02-03T18:16:42Z</dcterms:created>
  <dcterms:modified xsi:type="dcterms:W3CDTF">2014-02-06T16:47:23Z</dcterms:modified>
</cp:coreProperties>
</file>