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8795" windowHeight="8445" activeTab="1"/>
  </bookViews>
  <sheets>
    <sheet name="Captador" sheetId="5" r:id="rId1"/>
    <sheet name="Suelo_radiante" sheetId="2" r:id="rId2"/>
    <sheet name="f" sheetId="6" r:id="rId3"/>
    <sheet name="circuito hidráulico" sheetId="7" r:id="rId4"/>
  </sheets>
  <calcPr calcId="125725"/>
</workbook>
</file>

<file path=xl/calcChain.xml><?xml version="1.0" encoding="utf-8"?>
<calcChain xmlns="http://schemas.openxmlformats.org/spreadsheetml/2006/main">
  <c r="P11" i="2"/>
  <c r="P12"/>
  <c r="P13"/>
  <c r="P14"/>
  <c r="P10"/>
  <c r="F10" i="7"/>
  <c r="E8"/>
  <c r="E7"/>
  <c r="D9"/>
  <c r="G7" s="1"/>
  <c r="E11" i="2"/>
  <c r="I11"/>
  <c r="J11" s="1"/>
  <c r="M11"/>
  <c r="E12"/>
  <c r="I12" s="1"/>
  <c r="J12" s="1"/>
  <c r="M12"/>
  <c r="E13"/>
  <c r="I13" s="1"/>
  <c r="J13" s="1"/>
  <c r="M13"/>
  <c r="E14"/>
  <c r="I14" s="1"/>
  <c r="J14" s="1"/>
  <c r="M14"/>
  <c r="B24"/>
  <c r="B30" s="1"/>
  <c r="E7"/>
  <c r="I7" s="1"/>
  <c r="J7" s="1"/>
  <c r="E8"/>
  <c r="I8" s="1"/>
  <c r="J8" s="1"/>
  <c r="E9"/>
  <c r="I9" s="1"/>
  <c r="J9" s="1"/>
  <c r="E10"/>
  <c r="I10" s="1"/>
  <c r="J10" s="1"/>
  <c r="E15"/>
  <c r="I15" s="1"/>
  <c r="J15" s="1"/>
  <c r="E16"/>
  <c r="I16" s="1"/>
  <c r="J16" s="1"/>
  <c r="E17"/>
  <c r="I17" s="1"/>
  <c r="J17" s="1"/>
  <c r="E6"/>
  <c r="H21" i="5"/>
  <c r="H20"/>
  <c r="H19"/>
  <c r="H18"/>
  <c r="H17"/>
  <c r="H16"/>
  <c r="H15"/>
  <c r="H14"/>
  <c r="H13"/>
  <c r="H12"/>
  <c r="N14" i="2" l="1"/>
  <c r="I6"/>
  <c r="J6" s="1"/>
  <c r="K13"/>
  <c r="L13"/>
  <c r="N13"/>
  <c r="L12"/>
  <c r="K12"/>
  <c r="K11"/>
  <c r="L11"/>
  <c r="L14"/>
  <c r="K14"/>
  <c r="N12"/>
  <c r="N11"/>
  <c r="K17"/>
  <c r="K15"/>
  <c r="K9"/>
  <c r="K7"/>
  <c r="K16"/>
  <c r="K10"/>
  <c r="M10" s="1"/>
  <c r="N10" s="1"/>
  <c r="K8"/>
  <c r="L8"/>
  <c r="L17"/>
  <c r="L15"/>
  <c r="L9"/>
  <c r="L7"/>
  <c r="L16"/>
  <c r="L10"/>
  <c r="J18" l="1"/>
  <c r="L6"/>
  <c r="K6"/>
  <c r="M8"/>
  <c r="N8" s="1"/>
  <c r="N4" i="6"/>
  <c r="N6"/>
  <c r="M16" i="2"/>
  <c r="N16" s="1"/>
  <c r="M9"/>
  <c r="N9" s="1"/>
  <c r="M17"/>
  <c r="N17" s="1"/>
  <c r="M7"/>
  <c r="N7" s="1"/>
  <c r="M15"/>
  <c r="N15" s="1"/>
  <c r="M6"/>
  <c r="N6" s="1"/>
  <c r="N3" i="6"/>
  <c r="N8"/>
  <c r="N7"/>
  <c r="N2"/>
  <c r="N5"/>
  <c r="N9"/>
  <c r="M18" i="2" l="1"/>
</calcChain>
</file>

<file path=xl/sharedStrings.xml><?xml version="1.0" encoding="utf-8"?>
<sst xmlns="http://schemas.openxmlformats.org/spreadsheetml/2006/main" count="80" uniqueCount="68">
  <si>
    <t>Latitud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</si>
  <si>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</si>
  <si>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</si>
  <si>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</si>
  <si>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</si>
  <si>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</si>
  <si>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</si>
  <si>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</si>
  <si>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</si>
  <si>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</si>
  <si>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</si>
  <si>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</si>
  <si>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</si>
  <si>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</si>
  <si>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Datos procedentes de portal de la Comisión Europea (PVGIS)</t>
  </si>
  <si>
    <t>Ocupación</t>
  </si>
  <si>
    <t>5 personas</t>
  </si>
  <si>
    <t>DE (kcal/mes)</t>
  </si>
  <si>
    <t>Dias</t>
  </si>
  <si>
    <t>DE (kWh/mes)</t>
  </si>
  <si>
    <r>
      <t>Sc (m</t>
    </r>
    <r>
      <rPr>
        <sz val="11"/>
        <color theme="1"/>
        <rFont val="Calibri"/>
        <family val="2"/>
      </rPr>
      <t>²)</t>
    </r>
  </si>
  <si>
    <r>
      <rPr>
        <sz val="11"/>
        <color theme="1"/>
        <rFont val="Calibri"/>
        <family val="2"/>
      </rPr>
      <t>η</t>
    </r>
    <r>
      <rPr>
        <sz val="8"/>
        <color theme="1"/>
        <rFont val="Calibri"/>
        <family val="2"/>
      </rPr>
      <t>o</t>
    </r>
  </si>
  <si>
    <t>MAI</t>
  </si>
  <si>
    <r>
      <t>FC</t>
    </r>
    <r>
      <rPr>
        <sz val="8"/>
        <color theme="1"/>
        <rFont val="Calibri"/>
        <family val="2"/>
      </rPr>
      <t>int</t>
    </r>
  </si>
  <si>
    <r>
      <t>V</t>
    </r>
    <r>
      <rPr>
        <sz val="8"/>
        <color theme="1"/>
        <rFont val="Calibri"/>
        <family val="2"/>
      </rPr>
      <t>acum</t>
    </r>
    <r>
      <rPr>
        <sz val="11"/>
        <color theme="1"/>
        <rFont val="Calibri"/>
        <family val="2"/>
      </rPr>
      <t xml:space="preserve"> (l)</t>
    </r>
  </si>
  <si>
    <r>
      <t>FC</t>
    </r>
    <r>
      <rPr>
        <sz val="8"/>
        <color theme="1"/>
        <rFont val="Calibri"/>
        <family val="2"/>
      </rPr>
      <t>acum</t>
    </r>
  </si>
  <si>
    <r>
      <t>K</t>
    </r>
    <r>
      <rPr>
        <sz val="8"/>
        <color theme="1"/>
        <rFont val="Calibri"/>
        <family val="2"/>
      </rPr>
      <t xml:space="preserve">global </t>
    </r>
    <r>
      <rPr>
        <sz val="12"/>
        <color theme="1"/>
        <rFont val="Calibri"/>
        <family val="2"/>
      </rPr>
      <t>(W/m²K)</t>
    </r>
  </si>
  <si>
    <t>η</t>
  </si>
  <si>
    <t>(Tm-Tamb)/G</t>
  </si>
  <si>
    <t>39°51' (Toledo)</t>
  </si>
  <si>
    <t>Demanda (l/mes)</t>
  </si>
  <si>
    <t>Volumen circulacion diario (l)</t>
  </si>
  <si>
    <t>Nº captadores</t>
  </si>
  <si>
    <t>Superficie captador (m²)</t>
  </si>
  <si>
    <t>f</t>
  </si>
  <si>
    <r>
      <t>f</t>
    </r>
    <r>
      <rPr>
        <b/>
        <sz val="8"/>
        <color theme="1"/>
        <rFont val="Calibri"/>
        <family val="2"/>
        <scheme val="minor"/>
      </rPr>
      <t>anual</t>
    </r>
  </si>
  <si>
    <r>
      <t>* Datos referidos a una inclinación 15° (</t>
    </r>
    <r>
      <rPr>
        <sz val="11"/>
        <color theme="1"/>
        <rFont val="Calibri"/>
        <family val="2"/>
      </rPr>
      <t>β=15°)</t>
    </r>
  </si>
  <si>
    <t xml:space="preserve">Uso </t>
  </si>
  <si>
    <r>
      <t>Irradiación (Wh/m</t>
    </r>
    <r>
      <rPr>
        <b/>
        <sz val="11"/>
        <color theme="1"/>
        <rFont val="Calibri"/>
        <family val="2"/>
      </rPr>
      <t>²</t>
    </r>
    <r>
      <rPr>
        <b/>
        <sz val="11"/>
        <color theme="1"/>
        <rFont val="Calibri"/>
        <family val="2"/>
        <scheme val="minor"/>
      </rPr>
      <t>)*</t>
    </r>
  </si>
  <si>
    <r>
      <t>T</t>
    </r>
    <r>
      <rPr>
        <b/>
        <sz val="8"/>
        <color theme="1"/>
        <rFont val="Calibri"/>
        <family val="2"/>
        <scheme val="minor"/>
      </rPr>
      <t>imp</t>
    </r>
    <r>
      <rPr>
        <b/>
        <sz val="11"/>
        <color theme="1"/>
        <rFont val="Calibri"/>
        <family val="2"/>
        <scheme val="minor"/>
      </rPr>
      <t xml:space="preserve"> (°C)</t>
    </r>
  </si>
  <si>
    <r>
      <t>T</t>
    </r>
    <r>
      <rPr>
        <b/>
        <sz val="8"/>
        <color theme="1"/>
        <rFont val="Calibri"/>
        <family val="2"/>
        <scheme val="minor"/>
      </rPr>
      <t>retorno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</rPr>
      <t>°C)</t>
    </r>
  </si>
  <si>
    <r>
      <t>T</t>
    </r>
    <r>
      <rPr>
        <b/>
        <sz val="8"/>
        <color theme="1"/>
        <rFont val="Calibri"/>
        <family val="2"/>
        <scheme val="minor"/>
      </rPr>
      <t>amb</t>
    </r>
    <r>
      <rPr>
        <b/>
        <sz val="11"/>
        <color theme="1"/>
        <rFont val="Calibri"/>
        <family val="2"/>
        <scheme val="minor"/>
      </rPr>
      <t xml:space="preserve"> (°C)</t>
    </r>
  </si>
  <si>
    <r>
      <t>D</t>
    </r>
    <r>
      <rPr>
        <b/>
        <sz val="8"/>
        <color theme="1"/>
        <rFont val="Calibri"/>
        <family val="2"/>
        <scheme val="minor"/>
      </rPr>
      <t>1</t>
    </r>
  </si>
  <si>
    <r>
      <t>D</t>
    </r>
    <r>
      <rPr>
        <b/>
        <sz val="8"/>
        <color theme="1"/>
        <rFont val="Calibri"/>
        <family val="2"/>
        <scheme val="minor"/>
      </rPr>
      <t>2</t>
    </r>
  </si>
  <si>
    <r>
      <t>f</t>
    </r>
    <r>
      <rPr>
        <b/>
        <sz val="8"/>
        <color theme="1"/>
        <rFont val="Calibri"/>
        <family val="2"/>
        <scheme val="minor"/>
      </rPr>
      <t>mes</t>
    </r>
  </si>
  <si>
    <r>
      <t>EU</t>
    </r>
    <r>
      <rPr>
        <b/>
        <sz val="8"/>
        <color theme="1"/>
        <rFont val="Calibri"/>
        <family val="2"/>
        <scheme val="minor"/>
      </rPr>
      <t>solar</t>
    </r>
    <r>
      <rPr>
        <b/>
        <sz val="11"/>
        <color theme="1"/>
        <rFont val="Calibri"/>
        <family val="2"/>
        <scheme val="minor"/>
      </rPr>
      <t>(kWh/mes)</t>
    </r>
  </si>
  <si>
    <r>
      <rPr>
        <b/>
        <sz val="12"/>
        <color theme="1"/>
        <rFont val="Calibri"/>
        <family val="2"/>
        <scheme val="minor"/>
      </rPr>
      <t>P</t>
    </r>
    <r>
      <rPr>
        <b/>
        <sz val="8"/>
        <color theme="1"/>
        <rFont val="Calibri"/>
        <family val="2"/>
        <scheme val="minor"/>
      </rPr>
      <t>disipacion</t>
    </r>
    <r>
      <rPr>
        <b/>
        <sz val="11"/>
        <color theme="1"/>
        <rFont val="Calibri"/>
        <family val="2"/>
        <scheme val="minor"/>
      </rPr>
      <t>(kcal/mes)</t>
    </r>
  </si>
  <si>
    <t>VIV. UNIFAMILIAR</t>
  </si>
  <si>
    <t>PÉRDIDAS DE CARGA</t>
  </si>
  <si>
    <t>ELEMENTO</t>
  </si>
  <si>
    <t>UNIDADES</t>
  </si>
  <si>
    <r>
      <t>Codo 90</t>
    </r>
    <r>
      <rPr>
        <sz val="11"/>
        <color theme="1"/>
        <rFont val="Calibri"/>
        <family val="2"/>
      </rPr>
      <t>°</t>
    </r>
  </si>
  <si>
    <t>T derivación</t>
  </si>
  <si>
    <t>Tubería 12x14</t>
  </si>
  <si>
    <r>
      <t>L</t>
    </r>
    <r>
      <rPr>
        <sz val="8"/>
        <color theme="1"/>
        <rFont val="Calibri"/>
        <family val="2"/>
        <scheme val="minor"/>
      </rPr>
      <t>eq</t>
    </r>
  </si>
  <si>
    <t>Factor corrección visosidad</t>
  </si>
  <si>
    <t>-</t>
  </si>
  <si>
    <t>Colector</t>
  </si>
  <si>
    <t>Pérdida de carga unit. tubería (mm c.a./m)</t>
  </si>
  <si>
    <t>Pérdida de carga unit. colector (mm c.a)</t>
  </si>
  <si>
    <t>Pérdida de carga unit. intercambiador (mm c.a)</t>
  </si>
  <si>
    <r>
      <t>PDC</t>
    </r>
    <r>
      <rPr>
        <sz val="8"/>
        <color theme="1"/>
        <rFont val="Calibri"/>
        <family val="2"/>
        <scheme val="minor"/>
      </rPr>
      <t>totales</t>
    </r>
    <r>
      <rPr>
        <sz val="11"/>
        <color theme="1"/>
        <rFont val="Calibri"/>
        <family val="2"/>
        <scheme val="minor"/>
      </rPr>
      <t xml:space="preserve"> (mm c.a.)</t>
    </r>
  </si>
  <si>
    <r>
      <t>PDC</t>
    </r>
    <r>
      <rPr>
        <sz val="8"/>
        <color theme="1"/>
        <rFont val="Calibri"/>
        <family val="2"/>
        <scheme val="minor"/>
      </rPr>
      <t>colector</t>
    </r>
    <r>
      <rPr>
        <sz val="11"/>
        <color theme="1"/>
        <rFont val="Calibri"/>
        <family val="2"/>
        <scheme val="minor"/>
      </rPr>
      <t xml:space="preserve"> (mm c.a.)</t>
    </r>
  </si>
  <si>
    <r>
      <t>PDC</t>
    </r>
    <r>
      <rPr>
        <sz val="8"/>
        <color theme="1"/>
        <rFont val="Calibri"/>
        <family val="2"/>
        <scheme val="minor"/>
      </rPr>
      <t>singul</t>
    </r>
    <r>
      <rPr>
        <sz val="11"/>
        <color theme="1"/>
        <rFont val="Calibri"/>
        <family val="2"/>
        <scheme val="minor"/>
      </rPr>
      <t xml:space="preserve"> (mm c.a.)</t>
    </r>
  </si>
  <si>
    <r>
      <t>PDC</t>
    </r>
    <r>
      <rPr>
        <sz val="8"/>
        <color theme="1"/>
        <rFont val="Calibri"/>
        <family val="2"/>
        <scheme val="minor"/>
      </rPr>
      <t>tub</t>
    </r>
    <r>
      <rPr>
        <sz val="11"/>
        <color theme="1"/>
        <rFont val="Calibri"/>
        <family val="2"/>
        <scheme val="minor"/>
      </rPr>
      <t xml:space="preserve"> (mm c.a.)</t>
    </r>
  </si>
  <si>
    <t>BOMBA</t>
  </si>
  <si>
    <t>Nºhoras sol**</t>
  </si>
  <si>
    <t>**Fuente: INE</t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</si>
</sst>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0" fontId="0" fillId="0" borderId="0" xfId="0" applyNumberFormat="1"/>
    <xf numFmtId="2" fontId="0" fillId="0" borderId="0" xfId="0" applyNumberFormat="1"/>
    <xf numFmtId="0" fontId="0" fillId="0" borderId="1" xfId="0" applyBorder="1"/>
    <xf numFmtId="9" fontId="0" fillId="0" borderId="0" xfId="0" applyNumberFormat="1"/>
    <xf numFmtId="0" fontId="4" fillId="0" borderId="0" xfId="0" applyFont="1"/>
    <xf numFmtId="0" fontId="5" fillId="0" borderId="1" xfId="0" applyFont="1" applyBorder="1"/>
    <xf numFmtId="10" fontId="5" fillId="0" borderId="1" xfId="0" applyNumberFormat="1" applyFont="1" applyBorder="1" applyAlignment="1">
      <alignment horizontal="center"/>
    </xf>
    <xf numFmtId="10" fontId="6" fillId="0" borderId="1" xfId="0" applyNumberFormat="1" applyFont="1" applyBorder="1"/>
    <xf numFmtId="164" fontId="4" fillId="0" borderId="1" xfId="0" applyNumberFormat="1" applyFont="1" applyBorder="1"/>
    <xf numFmtId="164" fontId="0" fillId="0" borderId="1" xfId="0" applyNumberFormat="1" applyBorder="1"/>
    <xf numFmtId="1" fontId="4" fillId="0" borderId="1" xfId="0" applyNumberFormat="1" applyFont="1" applyBorder="1"/>
    <xf numFmtId="1" fontId="0" fillId="0" borderId="1" xfId="0" applyNumberFormat="1" applyBorder="1"/>
    <xf numFmtId="10" fontId="6" fillId="0" borderId="0" xfId="0" applyNumberFormat="1" applyFont="1"/>
    <xf numFmtId="9" fontId="9" fillId="0" borderId="0" xfId="0" applyNumberFormat="1" applyFont="1"/>
    <xf numFmtId="0" fontId="9" fillId="0" borderId="0" xfId="0" applyFont="1"/>
    <xf numFmtId="2" fontId="9" fillId="0" borderId="0" xfId="0" applyNumberFormat="1" applyFont="1"/>
    <xf numFmtId="10" fontId="9" fillId="0" borderId="0" xfId="0" applyNumberFormat="1" applyFont="1"/>
    <xf numFmtId="0" fontId="6" fillId="0" borderId="0" xfId="0" applyFont="1"/>
    <xf numFmtId="2" fontId="8" fillId="0" borderId="0" xfId="0" applyNumberFormat="1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</c:marker>
          <c:trendline>
            <c:trendlineType val="linear"/>
            <c:dispEq val="1"/>
            <c:trendlineLbl>
              <c:numFmt formatCode="General" sourceLinked="0"/>
            </c:trendlineLbl>
          </c:trendline>
          <c:xVal>
            <c:numRef>
              <c:f>Captador!$G$11:$G$21</c:f>
              <c:numCache>
                <c:formatCode>General</c:formatCode>
                <c:ptCount val="1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</c:numCache>
            </c:numRef>
          </c:xVal>
          <c:yVal>
            <c:numRef>
              <c:f>Captador!$H$11:$H$21</c:f>
              <c:numCache>
                <c:formatCode>General</c:formatCode>
                <c:ptCount val="11"/>
                <c:pt idx="0">
                  <c:v>0.79500000000000004</c:v>
                </c:pt>
                <c:pt idx="1">
                  <c:v>0.724136</c:v>
                </c:pt>
                <c:pt idx="2">
                  <c:v>0.65326400000000007</c:v>
                </c:pt>
                <c:pt idx="3">
                  <c:v>0.58238400000000001</c:v>
                </c:pt>
                <c:pt idx="4">
                  <c:v>0.51149600000000006</c:v>
                </c:pt>
                <c:pt idx="5">
                  <c:v>0.44059999999999999</c:v>
                </c:pt>
                <c:pt idx="6">
                  <c:v>0.36969600000000008</c:v>
                </c:pt>
                <c:pt idx="7">
                  <c:v>0.29878399999999999</c:v>
                </c:pt>
                <c:pt idx="8">
                  <c:v>0.22786399999999998</c:v>
                </c:pt>
                <c:pt idx="9">
                  <c:v>0.15693600000000008</c:v>
                </c:pt>
                <c:pt idx="10">
                  <c:v>8.5999999999999924E-2</c:v>
                </c:pt>
              </c:numCache>
            </c:numRef>
          </c:yVal>
        </c:ser>
        <c:axId val="66585344"/>
        <c:axId val="66587264"/>
      </c:scatterChart>
      <c:valAx>
        <c:axId val="66585344"/>
        <c:scaling>
          <c:orientation val="minMax"/>
        </c:scaling>
        <c:axPos val="b"/>
        <c:numFmt formatCode="General" sourceLinked="1"/>
        <c:tickLblPos val="nextTo"/>
        <c:crossAx val="66587264"/>
        <c:crosses val="autoZero"/>
        <c:crossBetween val="midCat"/>
      </c:valAx>
      <c:valAx>
        <c:axId val="66587264"/>
        <c:scaling>
          <c:orientation val="minMax"/>
        </c:scaling>
        <c:axPos val="l"/>
        <c:majorGridlines/>
        <c:numFmt formatCode="General" sourceLinked="1"/>
        <c:tickLblPos val="nextTo"/>
        <c:crossAx val="6658534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/>
    <c:plotArea>
      <c:layout/>
      <c:lineChart>
        <c:grouping val="standard"/>
        <c:ser>
          <c:idx val="0"/>
          <c:order val="0"/>
          <c:tx>
            <c:strRef>
              <c:f>f!$N$1</c:f>
              <c:strCache>
                <c:ptCount val="1"/>
                <c:pt idx="0">
                  <c:v>fanual</c:v>
                </c:pt>
              </c:strCache>
            </c:strRef>
          </c:tx>
          <c:spPr>
            <a:ln w="19050"/>
          </c:spPr>
          <c:cat>
            <c:numRef>
              <c:f>f!$A$2:$A$9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14</c:v>
                </c:pt>
              </c:numCache>
            </c:numRef>
          </c:cat>
          <c:val>
            <c:numRef>
              <c:f>f!$N$2:$N$9</c:f>
              <c:numCache>
                <c:formatCode>0.00%</c:formatCode>
                <c:ptCount val="8"/>
                <c:pt idx="0">
                  <c:v>1.6173211650943389E-2</c:v>
                </c:pt>
                <c:pt idx="1">
                  <c:v>4.3268951468910542E-2</c:v>
                </c:pt>
                <c:pt idx="2">
                  <c:v>6.6858947914580191E-2</c:v>
                </c:pt>
                <c:pt idx="3">
                  <c:v>8.8025217564125138E-2</c:v>
                </c:pt>
                <c:pt idx="4">
                  <c:v>0.10727913654806417</c:v>
                </c:pt>
                <c:pt idx="5">
                  <c:v>0.12494263303245609</c:v>
                </c:pt>
                <c:pt idx="6">
                  <c:v>0.14124698708058797</c:v>
                </c:pt>
                <c:pt idx="7">
                  <c:v>0.14894704897844882</c:v>
                </c:pt>
              </c:numCache>
            </c:numRef>
          </c:val>
        </c:ser>
        <c:marker val="1"/>
        <c:axId val="77934976"/>
        <c:axId val="77936512"/>
      </c:lineChart>
      <c:catAx>
        <c:axId val="77934976"/>
        <c:scaling>
          <c:orientation val="minMax"/>
        </c:scaling>
        <c:axPos val="b"/>
        <c:numFmt formatCode="General" sourceLinked="1"/>
        <c:tickLblPos val="nextTo"/>
        <c:crossAx val="77936512"/>
        <c:crosses val="autoZero"/>
        <c:auto val="1"/>
        <c:lblAlgn val="ctr"/>
        <c:lblOffset val="100"/>
      </c:catAx>
      <c:valAx>
        <c:axId val="77936512"/>
        <c:scaling>
          <c:orientation val="minMax"/>
          <c:min val="0"/>
        </c:scaling>
        <c:axPos val="l"/>
        <c:majorGridlines/>
        <c:numFmt formatCode="0.00%" sourceLinked="1"/>
        <c:tickLblPos val="nextTo"/>
        <c:crossAx val="77934976"/>
        <c:crosses val="autoZero"/>
        <c:crossBetween val="between"/>
        <c:majorUnit val="1.0000000000000005E-2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95250</xdr:rowOff>
    </xdr:from>
    <xdr:to>
      <xdr:col>5</xdr:col>
      <xdr:colOff>266700</xdr:colOff>
      <xdr:row>22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9900" t="31161" r="37300" b="10623"/>
        <a:stretch>
          <a:fillRect/>
        </a:stretch>
      </xdr:blipFill>
      <xdr:spPr bwMode="auto">
        <a:xfrm>
          <a:off x="0" y="285750"/>
          <a:ext cx="4076700" cy="3914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695325</xdr:colOff>
      <xdr:row>22</xdr:row>
      <xdr:rowOff>152400</xdr:rowOff>
    </xdr:from>
    <xdr:to>
      <xdr:col>10</xdr:col>
      <xdr:colOff>476250</xdr:colOff>
      <xdr:row>37</xdr:row>
      <xdr:rowOff>38100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10</xdr:row>
      <xdr:rowOff>95250</xdr:rowOff>
    </xdr:from>
    <xdr:to>
      <xdr:col>11</xdr:col>
      <xdr:colOff>485775</xdr:colOff>
      <xdr:row>30</xdr:row>
      <xdr:rowOff>152400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G10:H21"/>
  <sheetViews>
    <sheetView workbookViewId="0">
      <selection activeCell="B27" sqref="B27"/>
    </sheetView>
  </sheetViews>
  <sheetFormatPr baseColWidth="10" defaultRowHeight="15"/>
  <cols>
    <col min="7" max="7" width="14.7109375" customWidth="1"/>
  </cols>
  <sheetData>
    <row r="10" spans="7:8">
      <c r="G10" t="s">
        <v>28</v>
      </c>
      <c r="H10" s="1" t="s">
        <v>27</v>
      </c>
    </row>
    <row r="11" spans="7:8">
      <c r="G11">
        <v>0</v>
      </c>
      <c r="H11" s="1">
        <v>0.79500000000000004</v>
      </c>
    </row>
    <row r="12" spans="7:8">
      <c r="G12">
        <v>0.02</v>
      </c>
      <c r="H12">
        <f>0.795-3.543*G12-0.01*G12^2</f>
        <v>0.724136</v>
      </c>
    </row>
    <row r="13" spans="7:8">
      <c r="G13">
        <v>0.04</v>
      </c>
      <c r="H13">
        <f t="shared" ref="H13:H21" si="0">0.795-3.543*G13-0.01*G13^2</f>
        <v>0.65326400000000007</v>
      </c>
    </row>
    <row r="14" spans="7:8">
      <c r="G14">
        <v>0.06</v>
      </c>
      <c r="H14">
        <f t="shared" si="0"/>
        <v>0.58238400000000001</v>
      </c>
    </row>
    <row r="15" spans="7:8">
      <c r="G15">
        <v>0.08</v>
      </c>
      <c r="H15">
        <f t="shared" si="0"/>
        <v>0.51149600000000006</v>
      </c>
    </row>
    <row r="16" spans="7:8">
      <c r="G16">
        <v>0.1</v>
      </c>
      <c r="H16">
        <f t="shared" si="0"/>
        <v>0.44059999999999999</v>
      </c>
    </row>
    <row r="17" spans="7:8">
      <c r="G17">
        <v>0.12</v>
      </c>
      <c r="H17">
        <f t="shared" si="0"/>
        <v>0.36969600000000008</v>
      </c>
    </row>
    <row r="18" spans="7:8">
      <c r="G18">
        <v>0.14000000000000001</v>
      </c>
      <c r="H18">
        <f t="shared" si="0"/>
        <v>0.29878399999999999</v>
      </c>
    </row>
    <row r="19" spans="7:8">
      <c r="G19">
        <v>0.16</v>
      </c>
      <c r="H19">
        <f t="shared" si="0"/>
        <v>0.22786399999999998</v>
      </c>
    </row>
    <row r="20" spans="7:8">
      <c r="G20">
        <v>0.18</v>
      </c>
      <c r="H20">
        <f t="shared" si="0"/>
        <v>0.15693600000000008</v>
      </c>
    </row>
    <row r="21" spans="7:8">
      <c r="G21">
        <v>0.2</v>
      </c>
      <c r="H21">
        <f t="shared" si="0"/>
        <v>8.5999999999999924E-2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5"/>
  <sheetViews>
    <sheetView tabSelected="1" topLeftCell="A4" workbookViewId="0">
      <selection activeCell="A20" sqref="A20"/>
    </sheetView>
  </sheetViews>
  <sheetFormatPr baseColWidth="10" defaultRowHeight="15"/>
  <cols>
    <col min="1" max="1" width="17.85546875" customWidth="1"/>
    <col min="2" max="2" width="20" customWidth="1"/>
    <col min="3" max="3" width="7.140625" customWidth="1"/>
    <col min="4" max="4" width="5.85546875" customWidth="1"/>
    <col min="5" max="5" width="17.140625" customWidth="1"/>
    <col min="6" max="6" width="9.140625" customWidth="1"/>
    <col min="7" max="7" width="10.85546875" customWidth="1"/>
    <col min="8" max="8" width="9.28515625" customWidth="1"/>
    <col min="9" max="9" width="13.7109375" customWidth="1"/>
    <col min="10" max="10" width="15.28515625" customWidth="1"/>
    <col min="11" max="11" width="7.5703125" customWidth="1"/>
    <col min="12" max="12" width="6.7109375" customWidth="1"/>
    <col min="13" max="13" width="7.5703125" customWidth="1"/>
    <col min="14" max="14" width="16.42578125" customWidth="1"/>
    <col min="15" max="15" width="14" customWidth="1"/>
    <col min="16" max="16" width="18.7109375" customWidth="1"/>
  </cols>
  <sheetData>
    <row r="1" spans="1:16">
      <c r="A1" t="s">
        <v>47</v>
      </c>
    </row>
    <row r="2" spans="1:16">
      <c r="A2" t="s">
        <v>15</v>
      </c>
      <c r="B2" t="s">
        <v>16</v>
      </c>
      <c r="E2" t="s">
        <v>31</v>
      </c>
      <c r="G2">
        <v>29250</v>
      </c>
    </row>
    <row r="3" spans="1:16">
      <c r="A3" t="s">
        <v>0</v>
      </c>
      <c r="B3" s="1" t="s">
        <v>29</v>
      </c>
      <c r="C3" s="1"/>
      <c r="D3" s="1"/>
      <c r="E3" s="1"/>
      <c r="F3" s="1"/>
    </row>
    <row r="5" spans="1:16" s="22" customFormat="1" ht="15.75">
      <c r="A5" s="21" t="s">
        <v>1</v>
      </c>
      <c r="B5" s="21" t="s">
        <v>38</v>
      </c>
      <c r="C5" s="21" t="s">
        <v>37</v>
      </c>
      <c r="D5" s="21" t="s">
        <v>18</v>
      </c>
      <c r="E5" s="21" t="s">
        <v>30</v>
      </c>
      <c r="F5" s="21" t="s">
        <v>39</v>
      </c>
      <c r="G5" s="21" t="s">
        <v>40</v>
      </c>
      <c r="H5" s="21" t="s">
        <v>41</v>
      </c>
      <c r="I5" s="21" t="s">
        <v>17</v>
      </c>
      <c r="J5" s="21" t="s">
        <v>19</v>
      </c>
      <c r="K5" s="21" t="s">
        <v>42</v>
      </c>
      <c r="L5" s="21" t="s">
        <v>43</v>
      </c>
      <c r="M5" s="21" t="s">
        <v>44</v>
      </c>
      <c r="N5" s="21" t="s">
        <v>45</v>
      </c>
      <c r="O5" s="21" t="s">
        <v>66</v>
      </c>
      <c r="P5" s="21" t="s">
        <v>46</v>
      </c>
    </row>
    <row r="6" spans="1:16">
      <c r="A6" t="s">
        <v>2</v>
      </c>
      <c r="B6">
        <v>2771</v>
      </c>
      <c r="C6" s="5">
        <v>1</v>
      </c>
      <c r="D6">
        <v>31</v>
      </c>
      <c r="E6">
        <f>$G$2*D6</f>
        <v>906750</v>
      </c>
      <c r="F6">
        <v>38</v>
      </c>
      <c r="G6">
        <v>33</v>
      </c>
      <c r="H6">
        <v>8</v>
      </c>
      <c r="I6">
        <f>C6*(E6/1000)*1*1000*(F6-G6)</f>
        <v>4533750</v>
      </c>
      <c r="J6" s="3">
        <f>I6*0.00116</f>
        <v>5259.15</v>
      </c>
      <c r="K6" s="3">
        <f>($B$24*$B$25*$B$26*$B$27*B6/1000*D6)/J6</f>
        <v>0.15469309628647215</v>
      </c>
      <c r="L6" s="3">
        <f>($B$24*$B$28/1000*$B$27*(100-H6)*$B$30*((11.6+1.18*F6+3.86*G6-2.32*H6)/(100-H6))*24*D6)/J6</f>
        <v>1.4315763903237264</v>
      </c>
      <c r="M6" s="2">
        <f t="shared" ref="M6:M16" si="0">IF(C6=0,0,1.029*K6-0.065*L6-0.245*K6^2+0.0018*L6^2+0.0215*K6^3)</f>
        <v>6.4032420370366452E-2</v>
      </c>
      <c r="N6" s="3">
        <f>M6*J6</f>
        <v>336.7561035908127</v>
      </c>
      <c r="O6">
        <v>137</v>
      </c>
      <c r="P6">
        <v>0</v>
      </c>
    </row>
    <row r="7" spans="1:16">
      <c r="A7" t="s">
        <v>3</v>
      </c>
      <c r="B7">
        <v>3370</v>
      </c>
      <c r="C7" s="5">
        <v>1</v>
      </c>
      <c r="D7">
        <v>28</v>
      </c>
      <c r="E7">
        <f t="shared" ref="E7:E17" si="1">$G$2*D7</f>
        <v>819000</v>
      </c>
      <c r="F7">
        <v>38</v>
      </c>
      <c r="G7">
        <v>33</v>
      </c>
      <c r="H7">
        <v>9</v>
      </c>
      <c r="I7">
        <f>C7*(E7/1000)*1*1000*(F7-G7)</f>
        <v>4095000</v>
      </c>
      <c r="J7" s="3">
        <f t="shared" ref="J7:J17" si="2">I7*0.00116</f>
        <v>4750.2</v>
      </c>
      <c r="K7" s="3">
        <f t="shared" ref="K7:K17" si="3">($B$24*$B$25*$B$26*$B$27*B7/1000*D7)/J7</f>
        <v>0.18813270822281167</v>
      </c>
      <c r="L7" s="3">
        <f t="shared" ref="L7:L17" si="4">($B$24*$B$28/1000*$B$27*(100-H7)*$B$30*((11.6+1.18*F7+3.86*G7-2.32*H7)/(100-H7))*24*D7)/J7</f>
        <v>1.4114792269112184</v>
      </c>
      <c r="M7" s="2">
        <f t="shared" si="0"/>
        <v>9.6900153305101225E-2</v>
      </c>
      <c r="N7" s="3">
        <f t="shared" ref="N7:N17" si="5">M7*J7</f>
        <v>460.29510822989181</v>
      </c>
      <c r="O7">
        <v>199</v>
      </c>
      <c r="P7">
        <v>0</v>
      </c>
    </row>
    <row r="8" spans="1:16">
      <c r="A8" t="s">
        <v>4</v>
      </c>
      <c r="B8">
        <v>5218</v>
      </c>
      <c r="C8" s="5">
        <v>1</v>
      </c>
      <c r="D8">
        <v>31</v>
      </c>
      <c r="E8">
        <f t="shared" si="1"/>
        <v>906750</v>
      </c>
      <c r="F8">
        <v>38</v>
      </c>
      <c r="G8">
        <v>33</v>
      </c>
      <c r="H8">
        <v>13</v>
      </c>
      <c r="I8">
        <f t="shared" ref="I8:I17" si="6">C8*(E8/1000)*1*1000*(F8-G8)</f>
        <v>4533750</v>
      </c>
      <c r="J8" s="3">
        <f t="shared" si="2"/>
        <v>5259.15</v>
      </c>
      <c r="K8" s="3">
        <f t="shared" si="3"/>
        <v>0.29129865623342177</v>
      </c>
      <c r="L8" s="3">
        <f t="shared" si="4"/>
        <v>1.3310905732611871</v>
      </c>
      <c r="M8" s="2">
        <f t="shared" si="0"/>
        <v>0.19615666115161307</v>
      </c>
      <c r="N8" s="3">
        <f t="shared" si="5"/>
        <v>1031.6173044955058</v>
      </c>
      <c r="O8">
        <v>244</v>
      </c>
      <c r="P8">
        <v>0</v>
      </c>
    </row>
    <row r="9" spans="1:16">
      <c r="A9" t="s">
        <v>5</v>
      </c>
      <c r="B9">
        <v>5401</v>
      </c>
      <c r="C9" s="5">
        <v>1</v>
      </c>
      <c r="D9">
        <v>30</v>
      </c>
      <c r="E9">
        <f t="shared" si="1"/>
        <v>877500</v>
      </c>
      <c r="F9">
        <v>38</v>
      </c>
      <c r="G9">
        <v>33</v>
      </c>
      <c r="H9">
        <v>15</v>
      </c>
      <c r="I9">
        <f t="shared" si="6"/>
        <v>4387500</v>
      </c>
      <c r="J9" s="3">
        <f t="shared" si="2"/>
        <v>5089.5</v>
      </c>
      <c r="K9" s="3">
        <f t="shared" si="3"/>
        <v>0.30151476472148542</v>
      </c>
      <c r="L9" s="3">
        <f t="shared" si="4"/>
        <v>1.2908962464361711</v>
      </c>
      <c r="M9" s="2">
        <f t="shared" si="0"/>
        <v>0.20766608560757777</v>
      </c>
      <c r="N9" s="3">
        <f t="shared" si="5"/>
        <v>1056.916542699767</v>
      </c>
      <c r="O9">
        <v>278</v>
      </c>
      <c r="P9">
        <v>0</v>
      </c>
    </row>
    <row r="10" spans="1:16">
      <c r="A10" t="s">
        <v>6</v>
      </c>
      <c r="B10">
        <v>6594</v>
      </c>
      <c r="C10" s="15">
        <v>0</v>
      </c>
      <c r="D10" s="16">
        <v>31</v>
      </c>
      <c r="E10" s="16">
        <f t="shared" si="1"/>
        <v>906750</v>
      </c>
      <c r="F10" s="16">
        <v>38</v>
      </c>
      <c r="G10" s="16">
        <v>33</v>
      </c>
      <c r="H10" s="16">
        <v>19</v>
      </c>
      <c r="I10" s="16">
        <f t="shared" si="6"/>
        <v>0</v>
      </c>
      <c r="J10" s="17">
        <f t="shared" si="2"/>
        <v>0</v>
      </c>
      <c r="K10" s="17" t="e">
        <f t="shared" si="3"/>
        <v>#DIV/0!</v>
      </c>
      <c r="L10" s="17" t="e">
        <f t="shared" si="4"/>
        <v>#DIV/0!</v>
      </c>
      <c r="M10" s="18">
        <f t="shared" si="0"/>
        <v>0</v>
      </c>
      <c r="N10" s="16">
        <f t="shared" si="5"/>
        <v>0</v>
      </c>
      <c r="O10">
        <v>358</v>
      </c>
      <c r="P10" s="17">
        <f>B10*$B$24*$B$25*$B$26/1000*860.4</f>
        <v>56560.600237679995</v>
      </c>
    </row>
    <row r="11" spans="1:16">
      <c r="A11" t="s">
        <v>7</v>
      </c>
      <c r="B11">
        <v>7174</v>
      </c>
      <c r="C11" s="15">
        <v>0</v>
      </c>
      <c r="D11" s="16">
        <v>30</v>
      </c>
      <c r="E11" s="16">
        <f t="shared" si="1"/>
        <v>877500</v>
      </c>
      <c r="F11" s="16">
        <v>38</v>
      </c>
      <c r="G11" s="16">
        <v>33</v>
      </c>
      <c r="H11" s="16">
        <v>24</v>
      </c>
      <c r="I11" s="16">
        <f t="shared" si="6"/>
        <v>0</v>
      </c>
      <c r="J11" s="17">
        <f t="shared" si="2"/>
        <v>0</v>
      </c>
      <c r="K11" s="17" t="e">
        <f t="shared" si="3"/>
        <v>#DIV/0!</v>
      </c>
      <c r="L11" s="17" t="e">
        <f t="shared" si="4"/>
        <v>#DIV/0!</v>
      </c>
      <c r="M11" s="18">
        <f t="shared" si="0"/>
        <v>0</v>
      </c>
      <c r="N11" s="16">
        <f t="shared" si="5"/>
        <v>0</v>
      </c>
      <c r="O11">
        <v>332</v>
      </c>
      <c r="P11" s="17">
        <f t="shared" ref="P11:P14" si="7">B11*$B$24*$B$25*$B$26/1000*860.4</f>
        <v>61535.599955279999</v>
      </c>
    </row>
    <row r="12" spans="1:16">
      <c r="A12" t="s">
        <v>8</v>
      </c>
      <c r="B12">
        <v>7318</v>
      </c>
      <c r="C12" s="15">
        <v>0</v>
      </c>
      <c r="D12" s="16">
        <v>31</v>
      </c>
      <c r="E12" s="16">
        <f t="shared" si="1"/>
        <v>906750</v>
      </c>
      <c r="F12" s="16">
        <v>38</v>
      </c>
      <c r="G12" s="16">
        <v>33</v>
      </c>
      <c r="H12" s="16">
        <v>28</v>
      </c>
      <c r="I12" s="16">
        <f t="shared" si="6"/>
        <v>0</v>
      </c>
      <c r="J12" s="17">
        <f t="shared" si="2"/>
        <v>0</v>
      </c>
      <c r="K12" s="17" t="e">
        <f t="shared" si="3"/>
        <v>#DIV/0!</v>
      </c>
      <c r="L12" s="17" t="e">
        <f t="shared" si="4"/>
        <v>#DIV/0!</v>
      </c>
      <c r="M12" s="18">
        <f t="shared" si="0"/>
        <v>0</v>
      </c>
      <c r="N12" s="16">
        <f t="shared" si="5"/>
        <v>0</v>
      </c>
      <c r="O12">
        <v>415</v>
      </c>
      <c r="P12" s="17">
        <f t="shared" si="7"/>
        <v>62770.772298960001</v>
      </c>
    </row>
    <row r="13" spans="1:16">
      <c r="A13" t="s">
        <v>9</v>
      </c>
      <c r="B13">
        <v>6707</v>
      </c>
      <c r="C13" s="15">
        <v>0</v>
      </c>
      <c r="D13" s="16">
        <v>31</v>
      </c>
      <c r="E13" s="16">
        <f t="shared" si="1"/>
        <v>906750</v>
      </c>
      <c r="F13" s="16">
        <v>38</v>
      </c>
      <c r="G13" s="16">
        <v>33</v>
      </c>
      <c r="H13" s="16">
        <v>27</v>
      </c>
      <c r="I13" s="16">
        <f t="shared" si="6"/>
        <v>0</v>
      </c>
      <c r="J13" s="17">
        <f t="shared" si="2"/>
        <v>0</v>
      </c>
      <c r="K13" s="17" t="e">
        <f t="shared" si="3"/>
        <v>#DIV/0!</v>
      </c>
      <c r="L13" s="17" t="e">
        <f t="shared" si="4"/>
        <v>#DIV/0!</v>
      </c>
      <c r="M13" s="18">
        <f t="shared" si="0"/>
        <v>0</v>
      </c>
      <c r="N13" s="16">
        <f t="shared" si="5"/>
        <v>0</v>
      </c>
      <c r="O13">
        <v>373</v>
      </c>
      <c r="P13" s="17">
        <f t="shared" si="7"/>
        <v>57529.86742404</v>
      </c>
    </row>
    <row r="14" spans="1:16">
      <c r="A14" t="s">
        <v>10</v>
      </c>
      <c r="B14">
        <v>5549</v>
      </c>
      <c r="C14" s="15">
        <v>0</v>
      </c>
      <c r="D14" s="16">
        <v>30</v>
      </c>
      <c r="E14" s="16">
        <f t="shared" si="1"/>
        <v>877500</v>
      </c>
      <c r="F14" s="16">
        <v>38</v>
      </c>
      <c r="G14" s="16">
        <v>33</v>
      </c>
      <c r="H14" s="16">
        <v>23</v>
      </c>
      <c r="I14" s="16">
        <f t="shared" si="6"/>
        <v>0</v>
      </c>
      <c r="J14" s="17">
        <f t="shared" si="2"/>
        <v>0</v>
      </c>
      <c r="K14" s="17" t="e">
        <f t="shared" si="3"/>
        <v>#DIV/0!</v>
      </c>
      <c r="L14" s="17" t="e">
        <f t="shared" si="4"/>
        <v>#DIV/0!</v>
      </c>
      <c r="M14" s="18">
        <f t="shared" si="0"/>
        <v>0</v>
      </c>
      <c r="N14" s="16">
        <f t="shared" si="5"/>
        <v>0</v>
      </c>
      <c r="O14">
        <v>258</v>
      </c>
      <c r="P14" s="17">
        <f t="shared" si="7"/>
        <v>47597.023160279998</v>
      </c>
    </row>
    <row r="15" spans="1:16">
      <c r="A15" t="s">
        <v>11</v>
      </c>
      <c r="B15">
        <v>4074</v>
      </c>
      <c r="C15" s="5">
        <v>1</v>
      </c>
      <c r="D15">
        <v>31</v>
      </c>
      <c r="E15">
        <f t="shared" si="1"/>
        <v>906750</v>
      </c>
      <c r="F15">
        <v>38</v>
      </c>
      <c r="G15">
        <v>33</v>
      </c>
      <c r="H15">
        <v>17</v>
      </c>
      <c r="I15">
        <f t="shared" si="6"/>
        <v>4533750</v>
      </c>
      <c r="J15" s="3">
        <f t="shared" si="2"/>
        <v>5259.15</v>
      </c>
      <c r="K15" s="3">
        <f t="shared" si="3"/>
        <v>0.22743402175066313</v>
      </c>
      <c r="L15" s="3">
        <f t="shared" si="4"/>
        <v>1.2507019196111557</v>
      </c>
      <c r="M15" s="2">
        <f t="shared" si="0"/>
        <v>0.14312964830856614</v>
      </c>
      <c r="N15" s="3">
        <f t="shared" si="5"/>
        <v>752.74028990199554</v>
      </c>
      <c r="O15">
        <v>255</v>
      </c>
      <c r="P15" s="16">
        <v>0</v>
      </c>
    </row>
    <row r="16" spans="1:16">
      <c r="A16" t="s">
        <v>12</v>
      </c>
      <c r="B16">
        <v>2800</v>
      </c>
      <c r="C16" s="5">
        <v>1</v>
      </c>
      <c r="D16">
        <v>30</v>
      </c>
      <c r="E16">
        <f t="shared" si="1"/>
        <v>877500</v>
      </c>
      <c r="F16">
        <v>38</v>
      </c>
      <c r="G16">
        <v>33</v>
      </c>
      <c r="H16">
        <v>12</v>
      </c>
      <c r="I16">
        <f t="shared" si="6"/>
        <v>4387500</v>
      </c>
      <c r="J16" s="3">
        <f t="shared" si="2"/>
        <v>5089.5</v>
      </c>
      <c r="K16" s="3">
        <f t="shared" si="3"/>
        <v>0.15631204244031829</v>
      </c>
      <c r="L16" s="3">
        <f t="shared" si="4"/>
        <v>1.3511877366736946</v>
      </c>
      <c r="M16" s="2">
        <f t="shared" si="0"/>
        <v>7.0400081075594437E-2</v>
      </c>
      <c r="N16" s="3">
        <f t="shared" si="5"/>
        <v>358.30121263423791</v>
      </c>
      <c r="O16">
        <v>182</v>
      </c>
      <c r="P16" s="16">
        <v>0</v>
      </c>
    </row>
    <row r="17" spans="1:16">
      <c r="A17" t="s">
        <v>13</v>
      </c>
      <c r="B17">
        <v>2237</v>
      </c>
      <c r="C17" s="5">
        <v>1</v>
      </c>
      <c r="D17">
        <v>31</v>
      </c>
      <c r="E17">
        <f t="shared" si="1"/>
        <v>906750</v>
      </c>
      <c r="F17">
        <v>38</v>
      </c>
      <c r="G17">
        <v>33</v>
      </c>
      <c r="H17">
        <v>8</v>
      </c>
      <c r="I17">
        <f t="shared" si="6"/>
        <v>4533750</v>
      </c>
      <c r="J17" s="3">
        <f t="shared" si="2"/>
        <v>5259.15</v>
      </c>
      <c r="K17" s="3">
        <f t="shared" si="3"/>
        <v>0.12488215676392571</v>
      </c>
      <c r="L17" s="3">
        <f t="shared" si="4"/>
        <v>1.4315763903237264</v>
      </c>
      <c r="M17" s="2">
        <f t="shared" ref="M17" si="8">IF(C17=0,0,1.029*K17-0.065*L17-0.245*K17^2+0.0018*L17^2+0.0215*K17^3)</f>
        <v>3.5361176700865728E-2</v>
      </c>
      <c r="N17" s="3">
        <f t="shared" si="5"/>
        <v>185.96973244635797</v>
      </c>
      <c r="O17">
        <v>92</v>
      </c>
      <c r="P17" s="16">
        <v>0</v>
      </c>
    </row>
    <row r="18" spans="1:16">
      <c r="A18" t="s">
        <v>36</v>
      </c>
      <c r="J18" s="20">
        <f>SUM(J6:J17)</f>
        <v>35965.800000000003</v>
      </c>
      <c r="L18" s="19" t="s">
        <v>35</v>
      </c>
      <c r="M18" s="14">
        <f>SUM(N6:N17)/SUM(J6:J17)</f>
        <v>0.11629370941279127</v>
      </c>
    </row>
    <row r="19" spans="1:16">
      <c r="A19" t="s">
        <v>14</v>
      </c>
    </row>
    <row r="20" spans="1:16">
      <c r="A20" t="s">
        <v>67</v>
      </c>
    </row>
    <row r="22" spans="1:16">
      <c r="A22" t="s">
        <v>33</v>
      </c>
      <c r="B22">
        <v>1.32</v>
      </c>
      <c r="E22">
        <v>3422</v>
      </c>
    </row>
    <row r="23" spans="1:16">
      <c r="A23" t="s">
        <v>32</v>
      </c>
      <c r="B23">
        <v>10</v>
      </c>
      <c r="E23">
        <v>3903</v>
      </c>
    </row>
    <row r="24" spans="1:16">
      <c r="A24" t="s">
        <v>20</v>
      </c>
      <c r="B24">
        <f>B22*B23</f>
        <v>13.200000000000001</v>
      </c>
      <c r="E24">
        <v>5711</v>
      </c>
    </row>
    <row r="25" spans="1:16">
      <c r="A25" s="1" t="s">
        <v>21</v>
      </c>
      <c r="B25">
        <v>0.79500000000000004</v>
      </c>
      <c r="E25">
        <v>5447</v>
      </c>
    </row>
    <row r="26" spans="1:16">
      <c r="A26" s="1" t="s">
        <v>22</v>
      </c>
      <c r="B26">
        <v>0.95</v>
      </c>
      <c r="E26">
        <v>6310</v>
      </c>
    </row>
    <row r="27" spans="1:16">
      <c r="A27" s="1" t="s">
        <v>23</v>
      </c>
      <c r="B27">
        <v>0.95</v>
      </c>
      <c r="E27">
        <v>6687</v>
      </c>
    </row>
    <row r="28" spans="1:16" ht="15.75">
      <c r="A28" s="1" t="s">
        <v>26</v>
      </c>
      <c r="B28">
        <v>3.5449999999999999</v>
      </c>
      <c r="E28">
        <v>6899</v>
      </c>
    </row>
    <row r="29" spans="1:16">
      <c r="A29" s="1" t="s">
        <v>24</v>
      </c>
      <c r="B29">
        <v>275</v>
      </c>
      <c r="E29">
        <v>6652</v>
      </c>
    </row>
    <row r="30" spans="1:16">
      <c r="A30" s="1" t="s">
        <v>25</v>
      </c>
      <c r="B30" s="3">
        <f>((B29/B24)/75)^-0.25</f>
        <v>1.3774493079968597</v>
      </c>
      <c r="C30" s="3"/>
      <c r="E30">
        <v>5899</v>
      </c>
    </row>
    <row r="31" spans="1:16">
      <c r="E31">
        <v>4632</v>
      </c>
    </row>
    <row r="32" spans="1:16">
      <c r="E32">
        <v>3370</v>
      </c>
    </row>
    <row r="33" spans="2:5">
      <c r="E33">
        <v>2760</v>
      </c>
    </row>
    <row r="45" spans="2:5">
      <c r="B45" s="1"/>
      <c r="C45" s="1"/>
      <c r="D45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N6" sqref="N6"/>
    </sheetView>
  </sheetViews>
  <sheetFormatPr baseColWidth="10" defaultRowHeight="15"/>
  <cols>
    <col min="1" max="1" width="16" customWidth="1"/>
    <col min="2" max="2" width="8.28515625" customWidth="1"/>
    <col min="3" max="3" width="7.7109375" customWidth="1"/>
    <col min="4" max="4" width="8" customWidth="1"/>
    <col min="5" max="5" width="7.5703125" customWidth="1"/>
    <col min="6" max="6" width="3.28515625" customWidth="1"/>
    <col min="7" max="8" width="3" customWidth="1"/>
    <col min="9" max="9" width="3.28515625" customWidth="1"/>
    <col min="10" max="10" width="3" customWidth="1"/>
    <col min="11" max="11" width="7.85546875" customWidth="1"/>
    <col min="12" max="12" width="8.5703125" customWidth="1"/>
    <col min="13" max="13" width="7.5703125" customWidth="1"/>
    <col min="14" max="14" width="11.42578125" style="2"/>
  </cols>
  <sheetData>
    <row r="1" spans="1:14" ht="15.75">
      <c r="A1" s="7" t="s">
        <v>32</v>
      </c>
      <c r="B1" s="24" t="s">
        <v>34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8" t="s">
        <v>35</v>
      </c>
    </row>
    <row r="2" spans="1:14">
      <c r="A2" s="4">
        <v>1</v>
      </c>
      <c r="B2" s="10">
        <v>1.063831E-2</v>
      </c>
      <c r="C2" s="10">
        <v>1.4124360000000001E-2</v>
      </c>
      <c r="D2" s="10">
        <v>2.4911929999999999E-2</v>
      </c>
      <c r="E2" s="10">
        <v>2.6094699999999998E-2</v>
      </c>
      <c r="F2" s="12">
        <v>0</v>
      </c>
      <c r="G2" s="12">
        <v>0</v>
      </c>
      <c r="H2" s="12">
        <v>0</v>
      </c>
      <c r="I2" s="12">
        <v>0</v>
      </c>
      <c r="J2" s="12">
        <v>0</v>
      </c>
      <c r="K2" s="10">
        <v>1.8713799999999999E-2</v>
      </c>
      <c r="L2" s="10">
        <v>1.109623E-2</v>
      </c>
      <c r="M2" s="10">
        <v>7.5911499999999996E-3</v>
      </c>
      <c r="N2" s="9">
        <f>(B2*Suelo_radiante!$J$6+C2*Suelo_radiante!$J$7+D2*Suelo_radiante!$J$8+E2*Suelo_radiante!$J$9+F2*Suelo_radiante!$J$10+G2*Suelo_radiante!$J$11+H2*Suelo_radiante!$J$12+I2*Suelo_radiante!$J$13+J2*Suelo_radiante!$J$14+K2*Suelo_radiante!$J$15+L2*Suelo_radiante!$J$16+M2*Suelo_radiante!$J$17)/Suelo_radiante!$J$18</f>
        <v>1.6173211650943389E-2</v>
      </c>
    </row>
    <row r="3" spans="1:14">
      <c r="A3" s="4">
        <v>3</v>
      </c>
      <c r="B3" s="10">
        <v>2.6750139765525711E-2</v>
      </c>
      <c r="C3" s="10">
        <v>3.7106848784368984E-2</v>
      </c>
      <c r="D3" s="10">
        <v>6.9014620948122843E-2</v>
      </c>
      <c r="E3" s="10">
        <v>7.2607074418443052E-2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0">
        <v>5.116429805694258E-2</v>
      </c>
      <c r="L3" s="10">
        <v>2.8379163133833291E-2</v>
      </c>
      <c r="M3" s="11">
        <v>1.7730257967422215E-2</v>
      </c>
      <c r="N3" s="9">
        <f>(B3*Suelo_radiante!$J$6+C3*Suelo_radiante!$J$7+D3*Suelo_radiante!$J$8+E3*Suelo_radiante!$J$9+F3*Suelo_radiante!$J$10+G3*Suelo_radiante!$J$11+H3*Suelo_radiante!$J$12+I3*Suelo_radiante!$J$13+J3*Suelo_radiante!$J$14+K3*Suelo_radiante!$J$15+L3*Suelo_radiante!$J$16+M3*Suelo_radiante!$J$17)/Suelo_radiante!$J$18</f>
        <v>4.3268951468910542E-2</v>
      </c>
    </row>
    <row r="4" spans="1:14">
      <c r="A4" s="4">
        <v>5</v>
      </c>
      <c r="B4" s="10">
        <v>3.9662213232657041E-2</v>
      </c>
      <c r="C4" s="10">
        <v>5.6703729792391341E-2</v>
      </c>
      <c r="D4" s="10">
        <v>0.10892845752828215</v>
      </c>
      <c r="E4" s="10">
        <v>0.11488587907668812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1">
        <v>8.0195332175403214E-2</v>
      </c>
      <c r="L4" s="11">
        <v>4.259040774692751E-2</v>
      </c>
      <c r="M4" s="11">
        <v>2.4830252515127851E-2</v>
      </c>
      <c r="N4" s="9">
        <f>(B4*Suelo_radiante!$J$6+C4*Suelo_radiante!$J$7+D4*Suelo_radiante!$J$8+E4*Suelo_radiante!$J$9+F4*Suelo_radiante!$J$10+G4*Suelo_radiante!$J$11+H4*Suelo_radiante!$J$12+I4*Suelo_radiante!$J$13+J4*Suelo_radiante!$J$14+K4*Suelo_radiante!$J$15+L4*Suelo_radiante!$J$16+M4*Suelo_radiante!$J$17)/Suelo_radiante!$J$18</f>
        <v>6.6858947914580191E-2</v>
      </c>
    </row>
    <row r="5" spans="1:14">
      <c r="A5" s="4">
        <v>7</v>
      </c>
      <c r="B5" s="10">
        <v>5.051228440769686E-2</v>
      </c>
      <c r="C5" s="10">
        <v>7.4038643521356792E-2</v>
      </c>
      <c r="D5" s="10">
        <v>0.14572742043836184</v>
      </c>
      <c r="E5" s="10">
        <v>0.15397394553201993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1">
        <v>0.10679978880468283</v>
      </c>
      <c r="L5" s="11">
        <v>5.4799405541759626E-2</v>
      </c>
      <c r="M5" s="11">
        <v>3.0027073213231229E-2</v>
      </c>
      <c r="N5" s="9">
        <f>(B5*Suelo_radiante!$J$6+C5*Suelo_radiante!$J$7+D5*Suelo_radiante!$J$8+E5*Suelo_radiante!$J$9+F5*Suelo_radiante!$J$10+G5*Suelo_radiante!$J$11+H5*Suelo_radiante!$J$12+I5*Suelo_radiante!$J$13+J5*Suelo_radiante!$J$14+K5*Suelo_radiante!$J$15+L5*Suelo_radiante!$J$16+M5*Suelo_radiante!$J$17)/Suelo_radiante!$J$18</f>
        <v>8.8025217564125138E-2</v>
      </c>
    </row>
    <row r="6" spans="1:14">
      <c r="A6" s="4">
        <v>9</v>
      </c>
      <c r="B6" s="10">
        <v>5.9834997099537719E-2</v>
      </c>
      <c r="C6" s="10">
        <v>8.9640833729314487E-2</v>
      </c>
      <c r="D6" s="10">
        <v>0.17992586886479695</v>
      </c>
      <c r="E6" s="10">
        <v>0.19037182196409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0">
        <v>0.13144559243296258</v>
      </c>
      <c r="L6" s="11">
        <v>6.5507285822104425E-2</v>
      </c>
      <c r="M6" s="11">
        <v>3.3853553544088803E-2</v>
      </c>
      <c r="N6" s="9">
        <f>(B6*Suelo_radiante!$J$6+C6*Suelo_radiante!$J$7+D6*Suelo_radiante!$J$8+E6*Suelo_radiante!$J$9+F6*Suelo_radiante!$J$10+G6*Suelo_radiante!$J$11+H6*Suelo_radiante!$J$12+I6*Suelo_radiante!$J$13+J6*Suelo_radiante!$J$14+K6*Suelo_radiante!$J$15+L6*Suelo_radiante!$J$16+M6*Suelo_radiante!$J$17)/Suelo_radiante!$J$18</f>
        <v>0.10727913654806417</v>
      </c>
    </row>
    <row r="7" spans="1:14">
      <c r="A7" s="4">
        <v>11</v>
      </c>
      <c r="B7" s="10">
        <v>6.7964560467265026E-2</v>
      </c>
      <c r="C7" s="10">
        <v>0.10384206151505501</v>
      </c>
      <c r="D7" s="11">
        <v>0.21185244794444971</v>
      </c>
      <c r="E7" s="11">
        <v>0.22440020319631537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1">
        <v>0.15442665914452341</v>
      </c>
      <c r="L7" s="11">
        <v>7.5026527592618797E-2</v>
      </c>
      <c r="M7" s="11">
        <v>3.6642092340249774E-2</v>
      </c>
      <c r="N7" s="9">
        <f>(B7*Suelo_radiante!$J$6+C7*Suelo_radiante!$J$7+D7*Suelo_radiante!$J$8+E7*Suelo_radiante!$J$9+F7*Suelo_radiante!$J$10+G7*Suelo_radiante!$J$11+H7*Suelo_radiante!$J$12+I7*Suelo_radiante!$J$13+J7*Suelo_radiante!$J$14+K7*Suelo_radiante!$J$15+L7*Suelo_radiante!$J$16+M7*Suelo_radiante!$J$17)/Suelo_radiante!$J$18</f>
        <v>0.12494263303245609</v>
      </c>
    </row>
    <row r="8" spans="1:14">
      <c r="A8" s="4">
        <v>13</v>
      </c>
      <c r="B8" s="10">
        <v>7.5139182427098092E-2</v>
      </c>
      <c r="C8" s="10">
        <v>0.11687952709429492</v>
      </c>
      <c r="D8" s="10">
        <v>0.2417469769872026</v>
      </c>
      <c r="E8" s="10">
        <v>0.25629380992333611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1">
        <v>0.17595377203984328</v>
      </c>
      <c r="L8" s="11">
        <v>8.3579354224417507E-2</v>
      </c>
      <c r="M8" s="11">
        <v>3.8629087191397578E-2</v>
      </c>
      <c r="N8" s="9">
        <f>(B8*Suelo_radiante!$J$6+C8*Suelo_radiante!$J$7+D8*Suelo_radiante!$J$8+E8*Suelo_radiante!$J$9+F8*Suelo_radiante!$J$10+G8*Suelo_radiante!$J$11+H8*Suelo_radiante!$J$12+I8*Suelo_radiante!$J$13+J8*Suelo_radiante!$J$14+K8*Suelo_radiante!$J$15+L8*Suelo_radiante!$J$16+M8*Suelo_radiante!$J$17)/Suelo_radiante!$J$18</f>
        <v>0.14124698708058797</v>
      </c>
    </row>
    <row r="9" spans="1:14">
      <c r="A9" s="4">
        <v>14</v>
      </c>
      <c r="B9" s="10">
        <v>7.8427235446080129E-2</v>
      </c>
      <c r="C9" s="10">
        <v>0.12302061715024389</v>
      </c>
      <c r="D9" s="10">
        <v>0.25599275562622592</v>
      </c>
      <c r="E9" s="10">
        <v>0.2714994823249306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1">
        <v>0.18622449253436732</v>
      </c>
      <c r="L9" s="11">
        <v>8.7548160245490295E-2</v>
      </c>
      <c r="M9" s="11">
        <v>3.938028497757478E-2</v>
      </c>
      <c r="N9" s="9">
        <f>(B9*Suelo_radiante!$J$6+C9*Suelo_radiante!$J$7+D9*Suelo_radiante!$J$8+E9*Suelo_radiante!$J$9+F9*Suelo_radiante!$J$10+G9*Suelo_radiante!$J$11+H9*Suelo_radiante!$J$12+I9*Suelo_radiante!$J$13+J9*Suelo_radiante!$J$14+K9*Suelo_radiante!$J$15+L9*Suelo_radiante!$J$16+M9*Suelo_radiante!$J$17)/Suelo_radiante!$J$18</f>
        <v>0.14894704897844882</v>
      </c>
    </row>
    <row r="10" spans="1:14">
      <c r="B10" s="6"/>
      <c r="C10" s="6"/>
      <c r="D10" s="6"/>
    </row>
    <row r="11" spans="1:1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4">
      <c r="B13" s="6"/>
      <c r="C13" s="6"/>
      <c r="D13" s="6"/>
      <c r="E13" s="6"/>
      <c r="F13" s="6"/>
      <c r="G13" s="6"/>
      <c r="H13" s="6"/>
    </row>
    <row r="14" spans="1:14">
      <c r="B14" s="6"/>
      <c r="C14" s="6"/>
      <c r="D14" s="6"/>
      <c r="E14" s="6"/>
      <c r="F14" s="6"/>
      <c r="G14" s="6"/>
    </row>
    <row r="15" spans="1:14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4">
      <c r="B16" s="6"/>
      <c r="D16" s="6"/>
      <c r="F16" s="6"/>
      <c r="G16" s="6"/>
      <c r="H16" s="6"/>
      <c r="I16" s="6"/>
      <c r="J16" s="6"/>
      <c r="K16" s="6"/>
      <c r="L16" s="6"/>
    </row>
    <row r="17" spans="2:12">
      <c r="B17" s="6"/>
      <c r="D17" s="6"/>
      <c r="F17" s="6"/>
      <c r="G17" s="6"/>
      <c r="H17" s="6"/>
      <c r="I17" s="6"/>
      <c r="J17" s="6"/>
      <c r="K17" s="6"/>
      <c r="L17" s="6"/>
    </row>
    <row r="18" spans="2:12">
      <c r="F18" s="6"/>
      <c r="G18" s="6"/>
      <c r="H18" s="6"/>
      <c r="I18" s="6"/>
      <c r="J18" s="6"/>
      <c r="K18" s="6"/>
      <c r="L18" s="6"/>
    </row>
    <row r="19" spans="2:12">
      <c r="F19" s="6"/>
      <c r="G19" s="6"/>
      <c r="H19" s="6"/>
      <c r="I19" s="6"/>
      <c r="J19" s="6"/>
      <c r="K19" s="6"/>
      <c r="L19" s="6"/>
    </row>
    <row r="20" spans="2:12">
      <c r="F20" s="6"/>
      <c r="G20" s="6"/>
      <c r="H20" s="6"/>
      <c r="I20" s="6"/>
      <c r="J20" s="6"/>
      <c r="K20" s="6"/>
      <c r="L20" s="6"/>
    </row>
    <row r="21" spans="2:12">
      <c r="F21" s="6"/>
      <c r="G21" s="6"/>
      <c r="H21" s="6"/>
      <c r="I21" s="6"/>
      <c r="J21" s="6"/>
      <c r="K21" s="6"/>
      <c r="L21" s="6"/>
    </row>
  </sheetData>
  <mergeCells count="1">
    <mergeCell ref="B1:M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9"/>
  <sheetViews>
    <sheetView topLeftCell="A4" workbookViewId="0">
      <selection activeCell="F24" sqref="F24"/>
    </sheetView>
  </sheetViews>
  <sheetFormatPr baseColWidth="10" defaultRowHeight="15"/>
  <cols>
    <col min="1" max="1" width="19.7109375" customWidth="1"/>
    <col min="2" max="2" width="22.28515625" customWidth="1"/>
    <col min="3" max="3" width="8.140625" customWidth="1"/>
    <col min="4" max="4" width="16.42578125" customWidth="1"/>
    <col min="5" max="5" width="18.28515625" customWidth="1"/>
    <col min="6" max="6" width="20.7109375" customWidth="1"/>
    <col min="7" max="7" width="19.5703125" customWidth="1"/>
  </cols>
  <sheetData>
    <row r="1" spans="1:7">
      <c r="A1" t="s">
        <v>48</v>
      </c>
    </row>
    <row r="6" spans="1:7">
      <c r="A6" t="s">
        <v>49</v>
      </c>
      <c r="B6" t="s">
        <v>50</v>
      </c>
      <c r="C6" t="s">
        <v>54</v>
      </c>
      <c r="D6" t="s">
        <v>64</v>
      </c>
      <c r="E6" t="s">
        <v>63</v>
      </c>
      <c r="F6" t="s">
        <v>62</v>
      </c>
      <c r="G6" t="s">
        <v>61</v>
      </c>
    </row>
    <row r="7" spans="1:7">
      <c r="A7" t="s">
        <v>51</v>
      </c>
      <c r="B7">
        <v>17</v>
      </c>
      <c r="C7" s="23">
        <v>0.38</v>
      </c>
      <c r="D7" s="23" t="s">
        <v>56</v>
      </c>
      <c r="E7" s="23">
        <f>B7*C7*C15*C14</f>
        <v>23.9666</v>
      </c>
      <c r="F7" s="23" t="s">
        <v>56</v>
      </c>
      <c r="G7">
        <f>D9+E7+E8+F10</f>
        <v>1500.1066000000001</v>
      </c>
    </row>
    <row r="8" spans="1:7">
      <c r="A8" t="s">
        <v>52</v>
      </c>
      <c r="B8">
        <v>2</v>
      </c>
      <c r="C8" s="23">
        <v>1.5</v>
      </c>
      <c r="D8" s="23" t="s">
        <v>56</v>
      </c>
      <c r="E8" s="23">
        <f>B8*C8*C14*C15</f>
        <v>11.129999999999999</v>
      </c>
      <c r="F8" s="23" t="s">
        <v>56</v>
      </c>
    </row>
    <row r="9" spans="1:7">
      <c r="A9" t="s">
        <v>53</v>
      </c>
      <c r="B9">
        <v>31</v>
      </c>
      <c r="C9" s="23" t="s">
        <v>56</v>
      </c>
      <c r="D9" s="23">
        <f>31*C14*C15</f>
        <v>115.01</v>
      </c>
      <c r="E9" s="23" t="s">
        <v>56</v>
      </c>
      <c r="F9" s="23" t="s">
        <v>56</v>
      </c>
    </row>
    <row r="10" spans="1:7">
      <c r="A10" t="s">
        <v>57</v>
      </c>
      <c r="B10">
        <v>5</v>
      </c>
      <c r="C10" s="23" t="s">
        <v>56</v>
      </c>
      <c r="D10" s="23" t="s">
        <v>56</v>
      </c>
      <c r="E10" s="23" t="s">
        <v>56</v>
      </c>
      <c r="F10" s="23">
        <f>B10*C16</f>
        <v>1350</v>
      </c>
    </row>
    <row r="14" spans="1:7">
      <c r="A14" t="s">
        <v>55</v>
      </c>
      <c r="C14">
        <v>1</v>
      </c>
    </row>
    <row r="15" spans="1:7">
      <c r="A15" t="s">
        <v>58</v>
      </c>
      <c r="C15">
        <v>3.71</v>
      </c>
    </row>
    <row r="16" spans="1:7">
      <c r="A16" t="s">
        <v>59</v>
      </c>
      <c r="C16">
        <v>270</v>
      </c>
    </row>
    <row r="17" spans="1:3">
      <c r="A17" t="s">
        <v>60</v>
      </c>
      <c r="C17" t="s">
        <v>56</v>
      </c>
    </row>
    <row r="19" spans="1:3">
      <c r="A19" t="s">
        <v>65</v>
      </c>
    </row>
  </sheetData>
  <pageMargins left="0.7" right="0.7" top="0.75" bottom="0.75" header="0.3" footer="0.3"/>
  <pageSetup paperSize="9" orientation="portrait" r:id="rId1"/>
  <legacyDrawing r:id="rId2"/>
  <oleObjects>
    <oleObject progId="Equation.3" shapeId="1025" r:id="rId3"/>
    <oleObject progId="Equation.3" shapeId="1028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Captador</vt:lpstr>
      <vt:lpstr>Suelo_radiante</vt:lpstr>
      <vt:lpstr>f</vt:lpstr>
      <vt:lpstr>circuito hidráulico</vt:lpstr>
    </vt:vector>
  </TitlesOfParts>
  <Company>Windows 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 5630</dc:creator>
  <cp:lastModifiedBy>ASPIRE 5630</cp:lastModifiedBy>
  <dcterms:created xsi:type="dcterms:W3CDTF">2011-03-09T10:31:19Z</dcterms:created>
  <dcterms:modified xsi:type="dcterms:W3CDTF">2011-03-28T23:19:06Z</dcterms:modified>
</cp:coreProperties>
</file>